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ThisWorkbook" defaultThemeVersion="124226"/>
  <mc:AlternateContent>
    <mc:Choice Requires="x15">
      <x15ac:absPath xmlns:x15ac="http://schemas.microsoft.com/office/spreadsheetml/2010/11/ac" url="\\S002103\kakogawa\362500\保険料係\保険料金試算関係\02_ホームページHP用試算シート\"/>
    </mc:Choice>
  </mc:AlternateContent>
  <xr:revisionPtr revIDLastSave="0" documentId="13_ncr:1_{65697A41-3359-4982-9FD6-96B6D4F71FEA}" xr6:coauthVersionLast="36" xr6:coauthVersionMax="36" xr10:uidLastSave="{00000000-0000-0000-0000-000000000000}"/>
  <workbookProtection workbookAlgorithmName="SHA-512" workbookHashValue="bUFZhf5d8uy66A13lwN8b7BRpgunsW73rPIqP/Rw7zkig7QrWBmvhTjSCaSVlFAFNBGhBucv2YgnQyENCJJEeQ==" workbookSaltValue="gIGz1Zzsivi24dc1j2Xb1g==" workbookSpinCount="100000" lockStructure="1"/>
  <bookViews>
    <workbookView xWindow="480" yWindow="30" windowWidth="8475" windowHeight="4725" xr2:uid="{00000000-000D-0000-FFFF-FFFF00000000}"/>
  </bookViews>
  <sheets>
    <sheet name="試算シート " sheetId="6" r:id="rId1"/>
    <sheet name="入力方法" sheetId="10" r:id="rId2"/>
    <sheet name="軽減所得" sheetId="8" state="hidden" r:id="rId3"/>
    <sheet name="軽減早見表" sheetId="7" state="hidden" r:id="rId4"/>
  </sheets>
  <calcPr calcId="191029"/>
</workbook>
</file>

<file path=xl/calcChain.xml><?xml version="1.0" encoding="utf-8"?>
<calcChain xmlns="http://schemas.openxmlformats.org/spreadsheetml/2006/main">
  <c r="R43" i="10" l="1"/>
  <c r="M43" i="10"/>
  <c r="C43" i="10"/>
  <c r="A23" i="10"/>
  <c r="Z22" i="10"/>
  <c r="H21" i="10" s="1"/>
  <c r="V25" i="10" s="1"/>
  <c r="A22" i="10"/>
  <c r="A21" i="10"/>
  <c r="A20" i="10"/>
  <c r="Z19" i="10"/>
  <c r="A19" i="10"/>
  <c r="A18" i="10"/>
  <c r="A17" i="10"/>
  <c r="Z16" i="10"/>
  <c r="A16" i="10"/>
  <c r="A15" i="10"/>
  <c r="A14" i="10"/>
  <c r="Z13" i="10"/>
  <c r="H12" i="10" s="1"/>
  <c r="V17" i="10" s="1"/>
  <c r="A13" i="10"/>
  <c r="A12" i="10"/>
  <c r="A11" i="10"/>
  <c r="Z10" i="10"/>
  <c r="A10" i="10"/>
  <c r="V9" i="10"/>
  <c r="H22" i="10" s="1"/>
  <c r="V27" i="10" s="1"/>
  <c r="A9" i="10"/>
  <c r="V8" i="10"/>
  <c r="H19" i="10" s="1"/>
  <c r="V24" i="10" s="1"/>
  <c r="A8" i="10"/>
  <c r="Z7" i="10"/>
  <c r="H6" i="10" s="1"/>
  <c r="V11" i="10" s="1"/>
  <c r="V7" i="10"/>
  <c r="H16" i="10" s="1"/>
  <c r="V21" i="10" s="1"/>
  <c r="A7" i="10"/>
  <c r="V6" i="10"/>
  <c r="H13" i="10" s="1"/>
  <c r="V18" i="10" s="1"/>
  <c r="A6" i="10"/>
  <c r="V5" i="10"/>
  <c r="H10" i="10" s="1"/>
  <c r="V15" i="10" s="1"/>
  <c r="V4" i="10"/>
  <c r="H7" i="10" s="1"/>
  <c r="V12" i="10" s="1"/>
  <c r="V2" i="10"/>
  <c r="T7" i="10" s="1"/>
  <c r="Z22" i="6"/>
  <c r="Z19" i="6"/>
  <c r="Z16" i="6"/>
  <c r="Z13" i="6"/>
  <c r="Z10" i="6"/>
  <c r="Z7" i="6"/>
  <c r="V2" i="6"/>
  <c r="H15" i="10" l="1"/>
  <c r="V20" i="10" s="1"/>
  <c r="K15" i="10" s="1"/>
  <c r="K12" i="10"/>
  <c r="K21" i="10"/>
  <c r="H18" i="10"/>
  <c r="V23" i="10" s="1"/>
  <c r="K18" i="10" s="1"/>
  <c r="H9" i="10"/>
  <c r="V14" i="10" s="1"/>
  <c r="K9" i="10" s="1"/>
  <c r="B47" i="10"/>
  <c r="L47" i="10"/>
  <c r="K6" i="10"/>
  <c r="X3" i="10"/>
  <c r="T4" i="10"/>
  <c r="T10" i="10"/>
  <c r="S39" i="10" s="1"/>
  <c r="R40" i="10" s="1"/>
  <c r="Q46" i="10" s="1"/>
  <c r="T1" i="10"/>
  <c r="H6" i="6"/>
  <c r="V9" i="6"/>
  <c r="V8" i="6"/>
  <c r="V7" i="6"/>
  <c r="V6" i="6"/>
  <c r="V5" i="6"/>
  <c r="V4" i="6"/>
  <c r="R21" i="10" l="1"/>
  <c r="G35" i="10" s="1"/>
  <c r="H36" i="10" s="1"/>
  <c r="R15" i="10"/>
  <c r="B35" i="10" s="1"/>
  <c r="C36" i="10" s="1"/>
  <c r="H43" i="10"/>
  <c r="I39" i="10"/>
  <c r="H40" i="10" s="1"/>
  <c r="G46" i="10" s="1"/>
  <c r="D39" i="10"/>
  <c r="C40" i="10" s="1"/>
  <c r="B46" i="10" s="1"/>
  <c r="N39" i="10"/>
  <c r="M40" i="10" s="1"/>
  <c r="L46" i="10" s="1"/>
  <c r="L35" i="10" l="1"/>
  <c r="M36" i="10" s="1"/>
  <c r="Q35" i="10"/>
  <c r="R36" i="10" s="1"/>
  <c r="A21" i="6"/>
  <c r="H21" i="6" s="1"/>
  <c r="A9" i="6"/>
  <c r="H9" i="6" s="1"/>
  <c r="A10" i="6"/>
  <c r="D18" i="8"/>
  <c r="D15" i="8"/>
  <c r="D12" i="8"/>
  <c r="D9" i="8"/>
  <c r="D6" i="8"/>
  <c r="D3" i="8"/>
  <c r="T1" i="6" l="1"/>
  <c r="A14" i="6"/>
  <c r="E11" i="8" s="1"/>
  <c r="A11" i="6"/>
  <c r="E8" i="8" s="1"/>
  <c r="A23" i="6"/>
  <c r="E20" i="8" s="1"/>
  <c r="A20" i="6"/>
  <c r="E17" i="8" s="1"/>
  <c r="A17" i="6"/>
  <c r="E14" i="8" s="1"/>
  <c r="A8" i="6"/>
  <c r="E5" i="8" s="1"/>
  <c r="H13" i="6"/>
  <c r="H10" i="6"/>
  <c r="T7" i="6" l="1"/>
  <c r="B47" i="6" s="1"/>
  <c r="T10" i="6"/>
  <c r="J41" i="7" l="1"/>
  <c r="J40" i="7"/>
  <c r="I40" i="7"/>
  <c r="J39" i="7"/>
  <c r="I39" i="7"/>
  <c r="H39" i="7"/>
  <c r="J38" i="7"/>
  <c r="I38" i="7"/>
  <c r="H38" i="7"/>
  <c r="G38" i="7"/>
  <c r="J37" i="7"/>
  <c r="I37" i="7"/>
  <c r="H37" i="7"/>
  <c r="G37" i="7"/>
  <c r="F37" i="7"/>
  <c r="J36" i="7"/>
  <c r="I36" i="7"/>
  <c r="H36" i="7"/>
  <c r="G36" i="7"/>
  <c r="F36" i="7"/>
  <c r="E36" i="7"/>
  <c r="J35" i="7"/>
  <c r="I35" i="7"/>
  <c r="H35" i="7"/>
  <c r="G35" i="7"/>
  <c r="F35" i="7"/>
  <c r="E35" i="7"/>
  <c r="D35" i="7"/>
  <c r="J34" i="7"/>
  <c r="I34" i="7"/>
  <c r="H34" i="7"/>
  <c r="G34" i="7"/>
  <c r="F34" i="7"/>
  <c r="E34" i="7"/>
  <c r="D34" i="7"/>
  <c r="C34" i="7"/>
  <c r="J33" i="7"/>
  <c r="I33" i="7"/>
  <c r="H33" i="7"/>
  <c r="G33" i="7"/>
  <c r="F33" i="7"/>
  <c r="E33" i="7"/>
  <c r="D33" i="7"/>
  <c r="C33" i="7"/>
  <c r="J27" i="7"/>
  <c r="J26" i="7"/>
  <c r="I26" i="7"/>
  <c r="J25" i="7"/>
  <c r="I25" i="7"/>
  <c r="H25" i="7"/>
  <c r="J24" i="7"/>
  <c r="I24" i="7"/>
  <c r="H24" i="7"/>
  <c r="G24" i="7"/>
  <c r="J23" i="7"/>
  <c r="I23" i="7"/>
  <c r="H23" i="7"/>
  <c r="G23" i="7"/>
  <c r="F23" i="7"/>
  <c r="J22" i="7"/>
  <c r="I22" i="7"/>
  <c r="H22" i="7"/>
  <c r="G22" i="7"/>
  <c r="F22" i="7"/>
  <c r="E22" i="7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C20" i="7"/>
  <c r="J19" i="7"/>
  <c r="I19" i="7"/>
  <c r="H19" i="7"/>
  <c r="G19" i="7"/>
  <c r="F19" i="7"/>
  <c r="E19" i="7"/>
  <c r="D19" i="7"/>
  <c r="C19" i="7"/>
  <c r="A6" i="6" l="1"/>
  <c r="V11" i="6" l="1"/>
  <c r="R43" i="6"/>
  <c r="M43" i="6"/>
  <c r="T4" i="6"/>
  <c r="S39" i="6" l="1"/>
  <c r="R40" i="6" s="1"/>
  <c r="Q46" i="6" s="1"/>
  <c r="N39" i="6"/>
  <c r="C43" i="6"/>
  <c r="L47" i="6" l="1"/>
  <c r="J13" i="7" l="1"/>
  <c r="I12" i="7"/>
  <c r="H11" i="7"/>
  <c r="G10" i="7"/>
  <c r="F9" i="7"/>
  <c r="E8" i="7"/>
  <c r="D7" i="7"/>
  <c r="D5" i="7"/>
  <c r="E5" i="7"/>
  <c r="F5" i="7"/>
  <c r="G5" i="7"/>
  <c r="H5" i="7"/>
  <c r="I5" i="7"/>
  <c r="J5" i="7"/>
  <c r="C6" i="7"/>
  <c r="C5" i="7"/>
  <c r="H22" i="6" l="1"/>
  <c r="V27" i="6" s="1"/>
  <c r="H19" i="6"/>
  <c r="V24" i="6" s="1"/>
  <c r="H16" i="6"/>
  <c r="V21" i="6" s="1"/>
  <c r="V18" i="6"/>
  <c r="V15" i="6"/>
  <c r="H7" i="6"/>
  <c r="V12" i="6" s="1"/>
  <c r="K6" i="6" s="1"/>
  <c r="A18" i="6" l="1"/>
  <c r="H18" i="6" s="1"/>
  <c r="A15" i="6"/>
  <c r="H15" i="6" s="1"/>
  <c r="A12" i="6"/>
  <c r="H12" i="6" s="1"/>
  <c r="A22" i="6"/>
  <c r="E19" i="8" s="1"/>
  <c r="F18" i="8" s="1"/>
  <c r="A19" i="6"/>
  <c r="E16" i="8" s="1"/>
  <c r="F15" i="8" s="1"/>
  <c r="A16" i="6"/>
  <c r="E13" i="8" s="1"/>
  <c r="F12" i="8" s="1"/>
  <c r="A13" i="6"/>
  <c r="E10" i="8" s="1"/>
  <c r="F9" i="8" s="1"/>
  <c r="E7" i="8"/>
  <c r="F6" i="8" s="1"/>
  <c r="A7" i="6"/>
  <c r="E4" i="8" s="1"/>
  <c r="F3" i="8" s="1"/>
  <c r="X3" i="6" l="1"/>
  <c r="V23" i="6"/>
  <c r="K18" i="6" s="1"/>
  <c r="V20" i="6"/>
  <c r="K15" i="6" s="1"/>
  <c r="V17" i="6"/>
  <c r="K12" i="6" s="1"/>
  <c r="E3" i="8"/>
  <c r="G3" i="8" s="1"/>
  <c r="V14" i="6"/>
  <c r="K9" i="6" s="1"/>
  <c r="V25" i="6"/>
  <c r="K21" i="6" s="1"/>
  <c r="E18" i="8"/>
  <c r="G18" i="8" s="1"/>
  <c r="R21" i="6" l="1"/>
  <c r="G35" i="6" s="1"/>
  <c r="E15" i="8"/>
  <c r="G15" i="8" s="1"/>
  <c r="E12" i="8"/>
  <c r="G12" i="8" s="1"/>
  <c r="E9" i="8"/>
  <c r="G9" i="8" s="1"/>
  <c r="R15" i="6"/>
  <c r="E6" i="8"/>
  <c r="B18" i="8"/>
  <c r="B15" i="8"/>
  <c r="B12" i="8"/>
  <c r="B9" i="8"/>
  <c r="B6" i="8"/>
  <c r="B3" i="8"/>
  <c r="J12" i="7"/>
  <c r="J11" i="7"/>
  <c r="I11" i="7"/>
  <c r="J10" i="7"/>
  <c r="I10" i="7"/>
  <c r="H10" i="7"/>
  <c r="J9" i="7"/>
  <c r="I9" i="7"/>
  <c r="H9" i="7"/>
  <c r="G9" i="7"/>
  <c r="J8" i="7"/>
  <c r="I8" i="7"/>
  <c r="H8" i="7"/>
  <c r="G8" i="7"/>
  <c r="F8" i="7"/>
  <c r="J7" i="7"/>
  <c r="I7" i="7"/>
  <c r="H7" i="7"/>
  <c r="G7" i="7"/>
  <c r="F7" i="7"/>
  <c r="E7" i="7"/>
  <c r="J6" i="7"/>
  <c r="I6" i="7"/>
  <c r="H6" i="7"/>
  <c r="G6" i="7"/>
  <c r="F6" i="7"/>
  <c r="E6" i="7"/>
  <c r="D6" i="7"/>
  <c r="G6" i="8" l="1"/>
  <c r="R25" i="10" s="1"/>
  <c r="I39" i="6"/>
  <c r="H40" i="6" s="1"/>
  <c r="H43" i="6"/>
  <c r="D39" i="6"/>
  <c r="B35" i="6"/>
  <c r="R25" i="6" l="1"/>
  <c r="I7" i="8"/>
  <c r="C36" i="6"/>
  <c r="Q35" i="6"/>
  <c r="R36" i="6" s="1"/>
  <c r="H36" i="6"/>
  <c r="M40" i="6"/>
  <c r="L46" i="6" s="1"/>
  <c r="G46" i="6"/>
  <c r="C40" i="6"/>
  <c r="B46" i="6" s="1"/>
  <c r="L35" i="6"/>
  <c r="M36" i="6" s="1"/>
  <c r="W43" i="10" l="1"/>
  <c r="X43" i="10"/>
  <c r="Y43" i="10"/>
  <c r="P26" i="10"/>
  <c r="P25" i="10"/>
  <c r="P24" i="10"/>
  <c r="Y43" i="6"/>
  <c r="P26" i="6"/>
  <c r="P25" i="6"/>
  <c r="P24" i="6"/>
  <c r="X43" i="6"/>
  <c r="W43" i="6"/>
  <c r="E46" i="10" l="1"/>
  <c r="E46" i="6"/>
  <c r="E47" i="6" s="1"/>
  <c r="C48" i="6" s="1"/>
  <c r="C50" i="6" s="1"/>
  <c r="T46" i="10" l="1"/>
  <c r="R48" i="10" s="1"/>
  <c r="R50" i="10" s="1"/>
  <c r="O46" i="10"/>
  <c r="O47" i="10" s="1"/>
  <c r="M48" i="10" s="1"/>
  <c r="M50" i="10" s="1"/>
  <c r="E47" i="10"/>
  <c r="C48" i="10" s="1"/>
  <c r="C50" i="10" s="1"/>
  <c r="J46" i="10"/>
  <c r="H48" i="10" s="1"/>
  <c r="H50" i="10" s="1"/>
  <c r="T46" i="6"/>
  <c r="R48" i="6" s="1"/>
  <c r="R50" i="6" s="1"/>
  <c r="O46" i="6"/>
  <c r="O47" i="6" s="1"/>
  <c r="M48" i="6" s="1"/>
  <c r="M50" i="6" s="1"/>
  <c r="J46" i="6"/>
  <c r="H48" i="6" s="1"/>
  <c r="H50" i="6" s="1"/>
  <c r="G54" i="10" l="1"/>
  <c r="N54" i="10" s="1"/>
  <c r="G54" i="6"/>
  <c r="N54" i="6" l="1"/>
</calcChain>
</file>

<file path=xl/sharedStrings.xml><?xml version="1.0" encoding="utf-8"?>
<sst xmlns="http://schemas.openxmlformats.org/spreadsheetml/2006/main" count="455" uniqueCount="97">
  <si>
    <t>給与</t>
    <rPh sb="0" eb="2">
      <t>キュウヨ</t>
    </rPh>
    <phoneticPr fontId="2"/>
  </si>
  <si>
    <t>年金</t>
    <rPh sb="0" eb="2">
      <t>ネンキン</t>
    </rPh>
    <phoneticPr fontId="2"/>
  </si>
  <si>
    <t>その他</t>
    <rPh sb="2" eb="3">
      <t>タ</t>
    </rPh>
    <phoneticPr fontId="2"/>
  </si>
  <si>
    <t>収入</t>
    <rPh sb="0" eb="2">
      <t>シュウニュウ</t>
    </rPh>
    <phoneticPr fontId="2"/>
  </si>
  <si>
    <t>所得</t>
    <rPh sb="0" eb="2">
      <t>ショトク</t>
    </rPh>
    <phoneticPr fontId="2"/>
  </si>
  <si>
    <t>円</t>
    <rPh sb="0" eb="1">
      <t>エン</t>
    </rPh>
    <phoneticPr fontId="2"/>
  </si>
  <si>
    <t xml:space="preserve">人 </t>
    <rPh sb="0" eb="1">
      <t>ニン</t>
    </rPh>
    <phoneticPr fontId="2"/>
  </si>
  <si>
    <t>人</t>
    <rPh sb="0" eb="1">
      <t>ニン</t>
    </rPh>
    <phoneticPr fontId="2"/>
  </si>
  <si>
    <t>年齢</t>
    <rPh sb="0" eb="2">
      <t>ネンレイ</t>
    </rPh>
    <phoneticPr fontId="2"/>
  </si>
  <si>
    <t>収入の
種   類</t>
    <rPh sb="0" eb="2">
      <t>シュウニュウ</t>
    </rPh>
    <rPh sb="4" eb="5">
      <t>タネ</t>
    </rPh>
    <rPh sb="8" eb="9">
      <t>タグイ</t>
    </rPh>
    <phoneticPr fontId="2"/>
  </si>
  <si>
    <t>基準総所得総計</t>
    <rPh sb="0" eb="2">
      <t>キジュン</t>
    </rPh>
    <rPh sb="2" eb="5">
      <t>ソウショトク</t>
    </rPh>
    <rPh sb="5" eb="7">
      <t>ソウケイ</t>
    </rPh>
    <phoneticPr fontId="2"/>
  </si>
  <si>
    <t xml:space="preserve"> ① 所得割額</t>
    <rPh sb="3" eb="5">
      <t>ショトク</t>
    </rPh>
    <rPh sb="5" eb="6">
      <t>ワリ</t>
    </rPh>
    <rPh sb="6" eb="7">
      <t>ガク</t>
    </rPh>
    <phoneticPr fontId="2"/>
  </si>
  <si>
    <t xml:space="preserve"> ② 均等割額</t>
    <rPh sb="3" eb="5">
      <t>キントウ</t>
    </rPh>
    <rPh sb="5" eb="6">
      <t>ワリ</t>
    </rPh>
    <rPh sb="6" eb="7">
      <t>ガク</t>
    </rPh>
    <phoneticPr fontId="2"/>
  </si>
  <si>
    <t xml:space="preserve"> ③ 平等割額</t>
    <rPh sb="3" eb="5">
      <t>ビョウドウ</t>
    </rPh>
    <rPh sb="5" eb="6">
      <t>ワリ</t>
    </rPh>
    <rPh sb="6" eb="7">
      <t>ガク</t>
    </rPh>
    <phoneticPr fontId="2"/>
  </si>
  <si>
    <t>円になり、月当たりは約</t>
    <rPh sb="0" eb="1">
      <t>エン</t>
    </rPh>
    <rPh sb="5" eb="7">
      <t>ツキア</t>
    </rPh>
    <rPh sb="10" eb="11">
      <t>ヤク</t>
    </rPh>
    <phoneticPr fontId="2"/>
  </si>
  <si>
    <t>円になります。</t>
    <rPh sb="0" eb="1">
      <t>エン</t>
    </rPh>
    <phoneticPr fontId="2"/>
  </si>
  <si>
    <t>(加入者全員)</t>
    <rPh sb="1" eb="4">
      <t>カニュウシャ</t>
    </rPh>
    <rPh sb="4" eb="6">
      <t>ゼンイン</t>
    </rPh>
    <phoneticPr fontId="2"/>
  </si>
  <si>
    <t>　</t>
    <phoneticPr fontId="2"/>
  </si>
  <si>
    <t xml:space="preserve">  計 （100円未満切捨て)</t>
    <rPh sb="2" eb="3">
      <t>ケイ</t>
    </rPh>
    <rPh sb="8" eb="9">
      <t>エン</t>
    </rPh>
    <rPh sb="9" eb="11">
      <t>ミマン</t>
    </rPh>
    <rPh sb="11" eb="13">
      <t>キリス</t>
    </rPh>
    <phoneticPr fontId="2"/>
  </si>
  <si>
    <t>主</t>
    <rPh sb="0" eb="1">
      <t>ヌシ</t>
    </rPh>
    <phoneticPr fontId="2"/>
  </si>
  <si>
    <t>【注意事項】</t>
    <rPh sb="1" eb="3">
      <t>チュウイ</t>
    </rPh>
    <rPh sb="3" eb="5">
      <t>ジコウ</t>
    </rPh>
    <phoneticPr fontId="2"/>
  </si>
  <si>
    <t>・年度途中に40歳に到達する場合はその月から、65歳に到達する場合はその前月まで、介護保険分がかかります。</t>
    <rPh sb="43" eb="45">
      <t>ホケン</t>
    </rPh>
    <phoneticPr fontId="2"/>
  </si>
  <si>
    <t>子</t>
    <rPh sb="0" eb="1">
      <t>コ</t>
    </rPh>
    <phoneticPr fontId="2"/>
  </si>
  <si>
    <t>妻</t>
    <rPh sb="0" eb="1">
      <t>ツマ</t>
    </rPh>
    <phoneticPr fontId="2"/>
  </si>
  <si>
    <t xml:space="preserve">  なお、加入のお手続きを7月以降にされた場合は、お手続きの翌月から翌年の3月までの間お支払いいただくことになります。</t>
  </si>
  <si>
    <t>軽減基準所得</t>
    <rPh sb="0" eb="2">
      <t>ケイゲン</t>
    </rPh>
    <rPh sb="2" eb="6">
      <t>キジュンショトク</t>
    </rPh>
    <phoneticPr fontId="2"/>
  </si>
  <si>
    <t>軽減所得</t>
    <rPh sb="0" eb="4">
      <t>ケイゲンショトク</t>
    </rPh>
    <phoneticPr fontId="2"/>
  </si>
  <si>
    <t>７割</t>
    <rPh sb="1" eb="2">
      <t>ワリ</t>
    </rPh>
    <phoneticPr fontId="10"/>
  </si>
  <si>
    <t>給与所得者等の数</t>
    <rPh sb="0" eb="2">
      <t>キュウヨ</t>
    </rPh>
    <rPh sb="2" eb="4">
      <t>ショトク</t>
    </rPh>
    <rPh sb="4" eb="5">
      <t>シャ</t>
    </rPh>
    <rPh sb="5" eb="6">
      <t>トウ</t>
    </rPh>
    <rPh sb="7" eb="8">
      <t>カズ</t>
    </rPh>
    <phoneticPr fontId="10"/>
  </si>
  <si>
    <t>0か1</t>
    <phoneticPr fontId="10"/>
  </si>
  <si>
    <t>ー</t>
    <phoneticPr fontId="10"/>
  </si>
  <si>
    <t>43万円＋（給与所得者等の数（※）－１）×10万円</t>
  </si>
  <si>
    <t>5割</t>
    <rPh sb="1" eb="2">
      <t>ワリ</t>
    </rPh>
    <phoneticPr fontId="10"/>
  </si>
  <si>
    <t>２割</t>
    <rPh sb="1" eb="2">
      <t>ワリ</t>
    </rPh>
    <phoneticPr fontId="10"/>
  </si>
  <si>
    <t>給与所得者等の数</t>
    <rPh sb="0" eb="6">
      <t>キュウヨショトクシャトウ</t>
    </rPh>
    <rPh sb="7" eb="8">
      <t>カズ</t>
    </rPh>
    <phoneticPr fontId="2"/>
  </si>
  <si>
    <t>続柄</t>
    <rPh sb="0" eb="2">
      <t>ゾクガラ</t>
    </rPh>
    <phoneticPr fontId="2"/>
  </si>
  <si>
    <t>＝</t>
    <phoneticPr fontId="2"/>
  </si>
  <si>
    <t>被保険者数(特定同一世帯所属者含む）</t>
    <rPh sb="0" eb="1">
      <t>ヒ</t>
    </rPh>
    <rPh sb="1" eb="3">
      <t>ホケン</t>
    </rPh>
    <rPh sb="3" eb="4">
      <t>ジャ</t>
    </rPh>
    <rPh sb="4" eb="5">
      <t>スウ</t>
    </rPh>
    <rPh sb="6" eb="15">
      <t>トクテイドウイツセタイショゾクシャ</t>
    </rPh>
    <rPh sb="15" eb="16">
      <t>フク</t>
    </rPh>
    <phoneticPr fontId="10"/>
  </si>
  <si>
    <t>被保険者数(特定同一世帯所属者含む）</t>
    <rPh sb="0" eb="1">
      <t>ヒ</t>
    </rPh>
    <rPh sb="1" eb="3">
      <t>ホケン</t>
    </rPh>
    <rPh sb="3" eb="4">
      <t>ジャ</t>
    </rPh>
    <rPh sb="4" eb="5">
      <t>スウ</t>
    </rPh>
    <phoneticPr fontId="10"/>
  </si>
  <si>
    <t>７割軽減</t>
    <rPh sb="1" eb="4">
      <t>ワリケイゲン</t>
    </rPh>
    <phoneticPr fontId="2"/>
  </si>
  <si>
    <t>５割軽減</t>
    <rPh sb="1" eb="4">
      <t>ワリケイゲン</t>
    </rPh>
    <phoneticPr fontId="2"/>
  </si>
  <si>
    <t>２割軽減</t>
    <rPh sb="1" eb="4">
      <t>ワリケイゲン</t>
    </rPh>
    <phoneticPr fontId="2"/>
  </si>
  <si>
    <t>基準総所得
（-43万円)</t>
    <rPh sb="0" eb="2">
      <t>キジュン</t>
    </rPh>
    <rPh sb="2" eb="5">
      <t>ソウショトク</t>
    </rPh>
    <rPh sb="10" eb="11">
      <t>マン</t>
    </rPh>
    <rPh sb="11" eb="12">
      <t>エン</t>
    </rPh>
    <phoneticPr fontId="2"/>
  </si>
  <si>
    <t>その他</t>
    <rPh sb="2" eb="3">
      <t>タ</t>
    </rPh>
    <phoneticPr fontId="2"/>
  </si>
  <si>
    <t>軽減判定所得(個人)</t>
    <rPh sb="0" eb="4">
      <t>ケイゲンハンテイ</t>
    </rPh>
    <rPh sb="4" eb="6">
      <t>ショトク</t>
    </rPh>
    <rPh sb="7" eb="9">
      <t>コジン</t>
    </rPh>
    <phoneticPr fontId="2"/>
  </si>
  <si>
    <t>29,769円 ×</t>
    <rPh sb="6" eb="7">
      <t>エン</t>
    </rPh>
    <phoneticPr fontId="2"/>
  </si>
  <si>
    <t>13,972円 ×</t>
    <rPh sb="6" eb="7">
      <t>エン</t>
    </rPh>
    <phoneticPr fontId="2"/>
  </si>
  <si>
    <t>12,506円 ×</t>
    <rPh sb="6" eb="7">
      <t>エン</t>
    </rPh>
    <phoneticPr fontId="2"/>
  </si>
  <si>
    <t>※給与所得と年金所得の合計が10万円を超える場合は所得控除額が上乗せされます。</t>
    <rPh sb="1" eb="3">
      <t>キュウヨ</t>
    </rPh>
    <rPh sb="3" eb="5">
      <t>ショトク</t>
    </rPh>
    <rPh sb="6" eb="8">
      <t>ネンキン</t>
    </rPh>
    <rPh sb="8" eb="10">
      <t>ショトク</t>
    </rPh>
    <rPh sb="11" eb="13">
      <t>ゴウケイ</t>
    </rPh>
    <rPh sb="16" eb="18">
      <t>マンエン</t>
    </rPh>
    <rPh sb="19" eb="20">
      <t>コ</t>
    </rPh>
    <rPh sb="22" eb="24">
      <t>バアイ</t>
    </rPh>
    <rPh sb="25" eb="27">
      <t>ショトク</t>
    </rPh>
    <rPh sb="27" eb="29">
      <t>コウジョ</t>
    </rPh>
    <rPh sb="29" eb="30">
      <t>ガク</t>
    </rPh>
    <rPh sb="31" eb="33">
      <t>ウワノ</t>
    </rPh>
    <phoneticPr fontId="2"/>
  </si>
  <si>
    <t xml:space="preserve"> ④ 軽減額</t>
    <rPh sb="3" eb="5">
      <t>ケイゲン</t>
    </rPh>
    <rPh sb="5" eb="6">
      <t>ガク</t>
    </rPh>
    <phoneticPr fontId="2"/>
  </si>
  <si>
    <t>円　×</t>
    <rPh sb="0" eb="1">
      <t>エン</t>
    </rPh>
    <phoneticPr fontId="2"/>
  </si>
  <si>
    <t>(40歳～64歳の方のみ)</t>
    <phoneticPr fontId="2"/>
  </si>
  <si>
    <t>加入者数　</t>
    <rPh sb="0" eb="3">
      <t>カニュウシャ</t>
    </rPh>
    <rPh sb="3" eb="4">
      <t>スウ</t>
    </rPh>
    <phoneticPr fontId="2"/>
  </si>
  <si>
    <t>（限度額:670,000円）</t>
    <rPh sb="1" eb="3">
      <t>ゲンド</t>
    </rPh>
    <rPh sb="3" eb="4">
      <t>ガク</t>
    </rPh>
    <rPh sb="12" eb="13">
      <t>エン</t>
    </rPh>
    <phoneticPr fontId="2"/>
  </si>
  <si>
    <t>（限度額:170,000円）</t>
    <rPh sb="1" eb="3">
      <t>ゲンド</t>
    </rPh>
    <rPh sb="3" eb="4">
      <t>ガク</t>
    </rPh>
    <rPh sb="12" eb="13">
      <t>エン</t>
    </rPh>
    <phoneticPr fontId="2"/>
  </si>
  <si>
    <t>（限度額:260,000円）</t>
    <rPh sb="1" eb="3">
      <t>ゲンド</t>
    </rPh>
    <rPh sb="3" eb="4">
      <t>ガク</t>
    </rPh>
    <rPh sb="12" eb="13">
      <t>エン</t>
    </rPh>
    <phoneticPr fontId="2"/>
  </si>
  <si>
    <t>（限度額:30,000円）</t>
    <rPh sb="1" eb="3">
      <t>ゲンド</t>
    </rPh>
    <rPh sb="3" eb="4">
      <t>ガク</t>
    </rPh>
    <rPh sb="11" eb="12">
      <t>エン</t>
    </rPh>
    <phoneticPr fontId="2"/>
  </si>
  <si>
    <t xml:space="preserve">円 × 7.00% </t>
    <rPh sb="0" eb="1">
      <t>エン</t>
    </rPh>
    <phoneticPr fontId="2"/>
  </si>
  <si>
    <t xml:space="preserve">円 × 2.71% </t>
    <rPh sb="0" eb="1">
      <t>エン</t>
    </rPh>
    <phoneticPr fontId="2"/>
  </si>
  <si>
    <t xml:space="preserve">円 × 3.01% </t>
    <rPh sb="0" eb="1">
      <t>エン</t>
    </rPh>
    <phoneticPr fontId="2"/>
  </si>
  <si>
    <t xml:space="preserve">円 × 0.29% </t>
    <rPh sb="0" eb="1">
      <t>エン</t>
    </rPh>
    <phoneticPr fontId="2"/>
  </si>
  <si>
    <t>※年額（A～Dの合計）を12ヶ月で割った金額になります。　</t>
    <phoneticPr fontId="2"/>
  </si>
  <si>
    <t>※実際の１期あたり納付金額は、年額を最大９期（加入月による）で割った金額になります。　</t>
    <rPh sb="1" eb="3">
      <t>ジッサイ</t>
    </rPh>
    <rPh sb="5" eb="6">
      <t>キ</t>
    </rPh>
    <rPh sb="9" eb="11">
      <t>ノウフ</t>
    </rPh>
    <rPh sb="11" eb="13">
      <t>キンガク</t>
    </rPh>
    <rPh sb="15" eb="17">
      <t>ネンガク</t>
    </rPh>
    <rPh sb="18" eb="20">
      <t>サイダイ</t>
    </rPh>
    <rPh sb="21" eb="22">
      <t>キ</t>
    </rPh>
    <rPh sb="23" eb="25">
      <t>カニュウ</t>
    </rPh>
    <rPh sb="25" eb="26">
      <t>ツキ</t>
    </rPh>
    <rPh sb="31" eb="32">
      <t>ワ</t>
    </rPh>
    <rPh sb="34" eb="36">
      <t>キンガク</t>
    </rPh>
    <phoneticPr fontId="2"/>
  </si>
  <si>
    <t>1,359円 ×</t>
    <rPh sb="5" eb="6">
      <t>エン</t>
    </rPh>
    <phoneticPr fontId="2"/>
  </si>
  <si>
    <t xml:space="preserve"> ④ 軽減額</t>
    <rPh sb="3" eb="6">
      <t>ケイゲンガク</t>
    </rPh>
    <phoneticPr fontId="2"/>
  </si>
  <si>
    <t>非自発該当</t>
    <rPh sb="0" eb="3">
      <t>ヒジハツ</t>
    </rPh>
    <rPh sb="3" eb="5">
      <t>ガイトウ</t>
    </rPh>
    <phoneticPr fontId="2"/>
  </si>
  <si>
    <t>40～64歳の
加入者数　</t>
    <rPh sb="5" eb="6">
      <t>サイ</t>
    </rPh>
    <rPh sb="8" eb="11">
      <t>カニュウシャ</t>
    </rPh>
    <rPh sb="11" eb="12">
      <t>スウ</t>
    </rPh>
    <phoneticPr fontId="2"/>
  </si>
  <si>
    <t>未就学児の
加入者数　</t>
    <rPh sb="0" eb="4">
      <t>ミシュウガクジ</t>
    </rPh>
    <rPh sb="6" eb="9">
      <t>カニュウシャ</t>
    </rPh>
    <rPh sb="9" eb="10">
      <t>スウ</t>
    </rPh>
    <phoneticPr fontId="2"/>
  </si>
  <si>
    <t>18歳以上の
加入者数　</t>
    <rPh sb="2" eb="5">
      <t>サイイジョウ</t>
    </rPh>
    <rPh sb="7" eb="10">
      <t>カニュウシャ</t>
    </rPh>
    <rPh sb="10" eb="11">
      <t>スウ</t>
    </rPh>
    <phoneticPr fontId="2"/>
  </si>
  <si>
    <t>１．加入する方のご年齢と所得の状況</t>
    <rPh sb="2" eb="4">
      <t>カニュウ</t>
    </rPh>
    <rPh sb="6" eb="7">
      <t>カタ</t>
    </rPh>
    <rPh sb="9" eb="11">
      <t>ネンレイ</t>
    </rPh>
    <rPh sb="12" eb="14">
      <t>ショトク</t>
    </rPh>
    <rPh sb="15" eb="17">
      <t>ジョウキョウ</t>
    </rPh>
    <phoneticPr fontId="2"/>
  </si>
  <si>
    <t xml:space="preserve"> ② 均等割額（18歳以上）</t>
    <rPh sb="3" eb="5">
      <t>キントウ</t>
    </rPh>
    <rPh sb="5" eb="6">
      <t>ワリ</t>
    </rPh>
    <rPh sb="6" eb="7">
      <t>ガク</t>
    </rPh>
    <rPh sb="10" eb="11">
      <t>サイ</t>
    </rPh>
    <rPh sb="11" eb="13">
      <t>イジョウ</t>
    </rPh>
    <phoneticPr fontId="2"/>
  </si>
  <si>
    <t>夫</t>
    <rPh sb="0" eb="1">
      <t>オット</t>
    </rPh>
    <phoneticPr fontId="2"/>
  </si>
  <si>
    <t>43万円＋（給与所得者等の数（※）－１）×10万円＋31万円×被保険者数</t>
    <phoneticPr fontId="10"/>
  </si>
  <si>
    <r>
      <t>43万円＋（給与所得者等の数（※）－１）×10万円</t>
    </r>
    <r>
      <rPr>
        <sz val="14"/>
        <color indexed="8"/>
        <rFont val="ＭＳ Ｐゴシック"/>
        <family val="3"/>
        <charset val="128"/>
      </rPr>
      <t>＋57万円×被保険者数</t>
    </r>
    <phoneticPr fontId="10"/>
  </si>
  <si>
    <t>40歳～64歳までの
方の基準総所得総計</t>
    <rPh sb="2" eb="3">
      <t>サイ</t>
    </rPh>
    <rPh sb="6" eb="7">
      <t>サイ</t>
    </rPh>
    <rPh sb="11" eb="12">
      <t>カタ</t>
    </rPh>
    <rPh sb="13" eb="18">
      <t>キジュンソウショトク</t>
    </rPh>
    <rPh sb="18" eb="20">
      <t>ソウケイ</t>
    </rPh>
    <phoneticPr fontId="2"/>
  </si>
  <si>
    <r>
      <t>※給与所得者（給与収入</t>
    </r>
    <r>
      <rPr>
        <b/>
        <sz val="14"/>
        <color rgb="FFFF0000"/>
        <rFont val="ＭＳ Ｐゴシック"/>
        <family val="3"/>
        <charset val="128"/>
        <scheme val="minor"/>
      </rPr>
      <t>55万円</t>
    </r>
    <r>
      <rPr>
        <sz val="14"/>
        <color theme="1"/>
        <rFont val="ＭＳ Ｐゴシック"/>
        <family val="3"/>
        <charset val="128"/>
        <scheme val="minor"/>
      </rPr>
      <t xml:space="preserve">超）と公的年金等に係る所得を有する者（公的年金等の収入金額60万円超（65歳未満）又は125万円超（65歳以上）)
</t>
    </r>
    <phoneticPr fontId="10"/>
  </si>
  <si>
    <t>給与所得者判定</t>
    <rPh sb="0" eb="4">
      <t>キュウヨショトク</t>
    </rPh>
    <rPh sb="4" eb="5">
      <t>シャ</t>
    </rPh>
    <rPh sb="5" eb="7">
      <t>ハンテイ</t>
    </rPh>
    <phoneticPr fontId="2"/>
  </si>
  <si>
    <r>
      <t>給与所得者</t>
    </r>
    <r>
      <rPr>
        <sz val="10"/>
        <color rgb="FFFF0000"/>
        <rFont val="BIZ UDPゴシック"/>
        <family val="3"/>
        <charset val="128"/>
      </rPr>
      <t>等</t>
    </r>
    <r>
      <rPr>
        <sz val="10"/>
        <rFont val="BIZ UDPゴシック"/>
        <family val="3"/>
        <charset val="128"/>
      </rPr>
      <t>数判定用</t>
    </r>
    <rPh sb="0" eb="5">
      <t>キュウヨショトクシャ</t>
    </rPh>
    <rPh sb="5" eb="6">
      <t>ナド</t>
    </rPh>
    <rPh sb="6" eb="7">
      <t>スウ</t>
    </rPh>
    <rPh sb="7" eb="10">
      <t>ハンテイヨウ</t>
    </rPh>
    <phoneticPr fontId="2"/>
  </si>
  <si>
    <t>判定所得（調整控除・15万控除後）</t>
    <rPh sb="0" eb="2">
      <t>ハンテイ</t>
    </rPh>
    <rPh sb="2" eb="4">
      <t>ショトク</t>
    </rPh>
    <rPh sb="5" eb="9">
      <t>チョウセイコウジョ</t>
    </rPh>
    <rPh sb="12" eb="13">
      <t>マン</t>
    </rPh>
    <rPh sb="13" eb="15">
      <t>コウジョ</t>
    </rPh>
    <rPh sb="15" eb="16">
      <t>ゴ</t>
    </rPh>
    <phoneticPr fontId="2"/>
  </si>
  <si>
    <r>
      <t>・この試算は、令和８年度の</t>
    </r>
    <r>
      <rPr>
        <b/>
        <sz val="9.5"/>
        <rFont val="BIZ UDゴシック"/>
        <family val="3"/>
        <charset val="128"/>
      </rPr>
      <t>保険料率の</t>
    </r>
    <r>
      <rPr>
        <b/>
        <u val="double"/>
        <sz val="9.5"/>
        <rFont val="BIZ UDゴシック"/>
        <family val="3"/>
        <charset val="128"/>
      </rPr>
      <t>見込み</t>
    </r>
    <r>
      <rPr>
        <sz val="9.5"/>
        <rFont val="BIZ UDゴシック"/>
        <family val="3"/>
        <charset val="128"/>
      </rPr>
      <t>に基づいて計算していますので、</t>
    </r>
    <r>
      <rPr>
        <b/>
        <sz val="9.5"/>
        <rFont val="BIZ UDゴシック"/>
        <family val="3"/>
        <charset val="128"/>
      </rPr>
      <t>実際の保険料率とは異なる場合</t>
    </r>
    <r>
      <rPr>
        <sz val="9.5"/>
        <rFont val="BIZ UDゴシック"/>
        <family val="3"/>
        <charset val="128"/>
      </rPr>
      <t>があります。</t>
    </r>
    <rPh sb="3" eb="5">
      <t>シサン</t>
    </rPh>
    <rPh sb="7" eb="9">
      <t>レイワ</t>
    </rPh>
    <rPh sb="10" eb="12">
      <t>ネンド</t>
    </rPh>
    <rPh sb="13" eb="17">
      <t>ホケンリョウリツ</t>
    </rPh>
    <rPh sb="18" eb="20">
      <t>ミコ</t>
    </rPh>
    <rPh sb="22" eb="23">
      <t>モト</t>
    </rPh>
    <rPh sb="26" eb="28">
      <t>ケイサン</t>
    </rPh>
    <phoneticPr fontId="2"/>
  </si>
  <si>
    <r>
      <t>・入力内容に基づいた試算のため、</t>
    </r>
    <r>
      <rPr>
        <b/>
        <u/>
        <sz val="9.5"/>
        <rFont val="BIZ UDゴシック"/>
        <family val="3"/>
        <charset val="128"/>
      </rPr>
      <t>実際の額と異なる場合があります</t>
    </r>
    <r>
      <rPr>
        <sz val="9.5"/>
        <rFont val="BIZ UDゴシック"/>
        <family val="3"/>
        <charset val="128"/>
      </rPr>
      <t>。あくまでも目安としてご利用ください。</t>
    </r>
    <rPh sb="1" eb="3">
      <t>ニュウリョク</t>
    </rPh>
    <rPh sb="3" eb="5">
      <t>ナイヨウ</t>
    </rPh>
    <rPh sb="6" eb="7">
      <t>モト</t>
    </rPh>
    <rPh sb="10" eb="12">
      <t>シサン</t>
    </rPh>
    <phoneticPr fontId="2"/>
  </si>
  <si>
    <r>
      <t>・保険料は、7月から翌年3月までの年９回でのお支払いになるため、</t>
    </r>
    <r>
      <rPr>
        <b/>
        <u/>
        <sz val="9.5"/>
        <rFont val="BIZ UDゴシック"/>
        <family val="3"/>
        <charset val="128"/>
      </rPr>
      <t>月当たりの金額は実際の１期当たりの額と異なります</t>
    </r>
    <r>
      <rPr>
        <sz val="9.5"/>
        <rFont val="BIZ UDゴシック"/>
        <family val="3"/>
        <charset val="128"/>
      </rPr>
      <t>。</t>
    </r>
    <phoneticPr fontId="2"/>
  </si>
  <si>
    <t/>
  </si>
  <si>
    <t>2割基準</t>
    <rPh sb="1" eb="2">
      <t>ワリキジュン</t>
    </rPh>
    <phoneticPr fontId="2"/>
  </si>
  <si>
    <t>5割基準</t>
    <rPh sb="2" eb="4">
      <t>キジュン</t>
    </rPh>
    <phoneticPr fontId="2"/>
  </si>
  <si>
    <t>7割基準</t>
    <rPh sb="2" eb="4">
      <t>キジュン</t>
    </rPh>
    <phoneticPr fontId="2"/>
  </si>
  <si>
    <t>２.保険料の計算</t>
    <rPh sb="2" eb="4">
      <t>ホケン</t>
    </rPh>
    <rPh sb="4" eb="5">
      <t>リョウ</t>
    </rPh>
    <rPh sb="6" eb="8">
      <t>ケイサン</t>
    </rPh>
    <phoneticPr fontId="2"/>
  </si>
  <si>
    <t>世帯主</t>
    <rPh sb="0" eb="2">
      <t>セタイ</t>
    </rPh>
    <rPh sb="2" eb="3">
      <t>ヌシ</t>
    </rPh>
    <phoneticPr fontId="2"/>
  </si>
  <si>
    <t>1月1日年齢64歳</t>
    <rPh sb="1" eb="2">
      <t>ガツ</t>
    </rPh>
    <rPh sb="3" eb="4">
      <t>ニチ</t>
    </rPh>
    <rPh sb="4" eb="6">
      <t>ネンレイ</t>
    </rPh>
    <rPh sb="8" eb="9">
      <t>サイ</t>
    </rPh>
    <phoneticPr fontId="2"/>
  </si>
  <si>
    <t>非自発該当</t>
    <rPh sb="0" eb="3">
      <t>ヒジハツ</t>
    </rPh>
    <rPh sb="3" eb="5">
      <t>ガイトウ</t>
    </rPh>
    <phoneticPr fontId="2"/>
  </si>
  <si>
    <t>世帯主の加入有</t>
    <rPh sb="0" eb="3">
      <t>セタイヌシ</t>
    </rPh>
    <rPh sb="4" eb="7">
      <t>カニュウアリ</t>
    </rPh>
    <phoneticPr fontId="2"/>
  </si>
  <si>
    <t>世帯主の加入なし</t>
    <rPh sb="0" eb="3">
      <t>セタイヌシ</t>
    </rPh>
    <rPh sb="4" eb="6">
      <t>カニュウ</t>
    </rPh>
    <phoneticPr fontId="2"/>
  </si>
  <si>
    <r>
      <t xml:space="preserve"> </t>
    </r>
    <r>
      <rPr>
        <sz val="10"/>
        <color rgb="FF9933FF"/>
        <rFont val="BIZ UDPゴシック"/>
        <family val="3"/>
        <charset val="128"/>
      </rPr>
      <t>D</t>
    </r>
    <r>
      <rPr>
        <sz val="10"/>
        <rFont val="BIZ UDPゴシック"/>
        <family val="3"/>
        <charset val="128"/>
      </rPr>
      <t xml:space="preserve"> こども・子育て支援分</t>
    </r>
    <rPh sb="7" eb="9">
      <t>コソダ</t>
    </rPh>
    <rPh sb="10" eb="12">
      <t>シエン</t>
    </rPh>
    <rPh sb="12" eb="13">
      <t>ブン</t>
    </rPh>
    <phoneticPr fontId="2"/>
  </si>
  <si>
    <r>
      <t xml:space="preserve"> </t>
    </r>
    <r>
      <rPr>
        <sz val="10"/>
        <color rgb="FF00B050"/>
        <rFont val="BIZ UDPゴシック"/>
        <family val="3"/>
        <charset val="128"/>
      </rPr>
      <t>C</t>
    </r>
    <r>
      <rPr>
        <sz val="10"/>
        <rFont val="BIZ UDPゴシック"/>
        <family val="3"/>
        <charset val="128"/>
      </rPr>
      <t xml:space="preserve"> 後期高齢者支援分</t>
    </r>
    <rPh sb="3" eb="5">
      <t>コウキ</t>
    </rPh>
    <rPh sb="5" eb="8">
      <t>コウレイシャ</t>
    </rPh>
    <rPh sb="8" eb="10">
      <t>シエン</t>
    </rPh>
    <rPh sb="10" eb="11">
      <t>ブン</t>
    </rPh>
    <phoneticPr fontId="2"/>
  </si>
  <si>
    <r>
      <t xml:space="preserve"> </t>
    </r>
    <r>
      <rPr>
        <sz val="10"/>
        <color rgb="FF0000FF"/>
        <rFont val="BIZ UDPゴシック"/>
        <family val="3"/>
        <charset val="128"/>
      </rPr>
      <t>B</t>
    </r>
    <r>
      <rPr>
        <sz val="10"/>
        <rFont val="BIZ UDPゴシック"/>
        <family val="3"/>
        <charset val="128"/>
      </rPr>
      <t xml:space="preserve"> 介護保険分</t>
    </r>
    <rPh sb="3" eb="5">
      <t>カイゴ</t>
    </rPh>
    <rPh sb="5" eb="7">
      <t>ホケン</t>
    </rPh>
    <rPh sb="7" eb="8">
      <t>ブン</t>
    </rPh>
    <phoneticPr fontId="2"/>
  </si>
  <si>
    <r>
      <t>合計は</t>
    </r>
    <r>
      <rPr>
        <b/>
        <sz val="11"/>
        <rFont val="BIZ UDゴシック"/>
        <family val="3"/>
        <charset val="128"/>
      </rPr>
      <t xml:space="preserve">  </t>
    </r>
    <r>
      <rPr>
        <b/>
        <sz val="11"/>
        <color rgb="FFFF3300"/>
        <rFont val="BIZ UDゴシック"/>
        <family val="3"/>
        <charset val="128"/>
      </rPr>
      <t>A</t>
    </r>
    <r>
      <rPr>
        <b/>
        <sz val="11"/>
        <rFont val="BIZ UDゴシック"/>
        <family val="3"/>
        <charset val="128"/>
      </rPr>
      <t xml:space="preserve"> + </t>
    </r>
    <r>
      <rPr>
        <b/>
        <sz val="11"/>
        <color rgb="FF0000FF"/>
        <rFont val="BIZ UDゴシック"/>
        <family val="3"/>
        <charset val="128"/>
      </rPr>
      <t>B</t>
    </r>
    <r>
      <rPr>
        <b/>
        <sz val="11"/>
        <rFont val="BIZ UDゴシック"/>
        <family val="3"/>
        <charset val="128"/>
      </rPr>
      <t xml:space="preserve"> + </t>
    </r>
    <r>
      <rPr>
        <b/>
        <sz val="11"/>
        <color rgb="FF00B050"/>
        <rFont val="BIZ UDゴシック"/>
        <family val="3"/>
        <charset val="128"/>
      </rPr>
      <t>C</t>
    </r>
    <r>
      <rPr>
        <b/>
        <sz val="11"/>
        <rFont val="BIZ UDゴシック"/>
        <family val="3"/>
        <charset val="128"/>
      </rPr>
      <t xml:space="preserve"> + </t>
    </r>
    <r>
      <rPr>
        <b/>
        <sz val="11"/>
        <color rgb="FF9933FF"/>
        <rFont val="BIZ UDゴシック"/>
        <family val="3"/>
        <charset val="128"/>
      </rPr>
      <t>D</t>
    </r>
    <r>
      <rPr>
        <b/>
        <sz val="11"/>
        <rFont val="BIZ UDゴシック"/>
        <family val="3"/>
        <charset val="128"/>
      </rPr>
      <t xml:space="preserve"> =</t>
    </r>
    <rPh sb="0" eb="2">
      <t>ゴウケイ</t>
    </rPh>
    <phoneticPr fontId="2"/>
  </si>
  <si>
    <r>
      <t xml:space="preserve"> </t>
    </r>
    <r>
      <rPr>
        <sz val="10"/>
        <color rgb="FFFF3300"/>
        <rFont val="BIZ UDPゴシック"/>
        <family val="3"/>
        <charset val="128"/>
      </rPr>
      <t>A</t>
    </r>
    <r>
      <rPr>
        <sz val="10"/>
        <rFont val="BIZ UDPゴシック"/>
        <family val="3"/>
        <charset val="128"/>
      </rPr>
      <t xml:space="preserve"> 医療分</t>
    </r>
    <rPh sb="3" eb="5">
      <t>イリョウ</t>
    </rPh>
    <rPh sb="5" eb="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</si>
</sst>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円&quot;\ "/>
    <numFmt numFmtId="177" formatCode="#,##0&quot;円&quot;\ "/>
    <numFmt numFmtId="178" formatCode="#,##0\ 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HGP創英角ｺﾞｼｯｸUB"/>
      <family val="3"/>
      <charset val="128"/>
    </font>
    <font>
      <sz val="12"/>
      <name val="HG創英角ｺﾞｼｯｸUB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8"/>
      <color theme="1"/>
      <name val="ＭＳ Ｐ明朝"/>
      <family val="1"/>
      <charset val="128"/>
    </font>
    <font>
      <sz val="12"/>
      <color theme="1"/>
      <name val="HGP創英角ｺﾞｼｯｸUB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ゴシック"/>
      <family val="3"/>
      <charset val="128"/>
    </font>
    <font>
      <sz val="11"/>
      <name val="BIZ UDPゴシック"/>
      <family val="3"/>
      <charset val="128"/>
    </font>
    <font>
      <sz val="9"/>
      <name val="BIZ UD明朝 Medium"/>
      <family val="1"/>
      <charset val="128"/>
    </font>
    <font>
      <sz val="12"/>
      <name val="BIZ UDゴシック"/>
      <family val="3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u/>
      <sz val="9"/>
      <name val="BIZ UDゴシック"/>
      <family val="3"/>
      <charset val="128"/>
    </font>
    <font>
      <u/>
      <sz val="10"/>
      <name val="BIZ UDゴシック"/>
      <family val="3"/>
      <charset val="128"/>
    </font>
    <font>
      <sz val="9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name val="BIZ UDゴシック"/>
      <family val="3"/>
      <charset val="128"/>
    </font>
    <font>
      <sz val="8"/>
      <name val="BIZ UDPゴシック"/>
      <family val="3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 tint="0.34998626667073579"/>
      <name val="BIZ UD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8"/>
      <color rgb="FFFF0000"/>
      <name val="ＭＳ Ｐ明朝"/>
      <family val="1"/>
      <charset val="128"/>
    </font>
    <font>
      <sz val="10"/>
      <color rgb="FFFF0000"/>
      <name val="BIZ UDPゴシック"/>
      <family val="3"/>
      <charset val="128"/>
    </font>
    <font>
      <sz val="18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u/>
      <sz val="8"/>
      <name val="BIZ UDゴシック"/>
      <family val="3"/>
      <charset val="128"/>
    </font>
    <font>
      <sz val="9.5"/>
      <name val="BIZ UDゴシック"/>
      <family val="3"/>
      <charset val="128"/>
    </font>
    <font>
      <b/>
      <sz val="9.5"/>
      <name val="BIZ UDゴシック"/>
      <family val="3"/>
      <charset val="128"/>
    </font>
    <font>
      <b/>
      <u val="double"/>
      <sz val="9.5"/>
      <name val="BIZ UDゴシック"/>
      <family val="3"/>
      <charset val="128"/>
    </font>
    <font>
      <b/>
      <u/>
      <sz val="9.5"/>
      <name val="BIZ UD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rgb="FF00B0F0"/>
      <name val="ＭＳ Ｐ明朝"/>
      <family val="1"/>
      <charset val="128"/>
    </font>
    <font>
      <sz val="9"/>
      <color rgb="FF00B0F0"/>
      <name val="ＭＳ Ｐ明朝"/>
      <family val="1"/>
      <charset val="128"/>
    </font>
    <font>
      <sz val="1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color rgb="FFFF3300"/>
      <name val="BIZ UDゴシック"/>
      <family val="3"/>
      <charset val="128"/>
    </font>
    <font>
      <b/>
      <sz val="11"/>
      <color rgb="FFFF3300"/>
      <name val="BIZ UDゴシック"/>
      <family val="3"/>
      <charset val="128"/>
    </font>
    <font>
      <sz val="12"/>
      <color rgb="FF00B05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sz val="12"/>
      <color rgb="FF9933FF"/>
      <name val="BIZ UDゴシック"/>
      <family val="3"/>
      <charset val="128"/>
    </font>
    <font>
      <b/>
      <sz val="11"/>
      <color rgb="FF9933FF"/>
      <name val="BIZ UDゴシック"/>
      <family val="3"/>
      <charset val="128"/>
    </font>
    <font>
      <sz val="10"/>
      <color rgb="FF9933FF"/>
      <name val="BIZ UDPゴシック"/>
      <family val="3"/>
      <charset val="128"/>
    </font>
    <font>
      <sz val="10"/>
      <color rgb="FF00B050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12"/>
      <color rgb="FF0000FF"/>
      <name val="BIZ UDゴシック"/>
      <family val="3"/>
      <charset val="128"/>
    </font>
    <font>
      <b/>
      <sz val="11"/>
      <color rgb="FF0000FF"/>
      <name val="BIZ UDゴシック"/>
      <family val="3"/>
      <charset val="128"/>
    </font>
    <font>
      <sz val="10"/>
      <color rgb="FFFF33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8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b/>
      <sz val="10"/>
      <color theme="0" tint="-0.34998626667073579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10"/>
      <color theme="0" tint="-0.34998626667073579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66FFFF"/>
        <bgColor theme="0"/>
      </patternFill>
    </fill>
    <fill>
      <patternFill patternType="mediumGray">
        <fgColor rgb="FFFF7C80"/>
        <bgColor theme="0"/>
      </patternFill>
    </fill>
    <fill>
      <patternFill patternType="mediumGray">
        <fgColor rgb="FFFFFF00"/>
        <bgColor theme="0"/>
      </patternFill>
    </fill>
    <fill>
      <patternFill patternType="mediumGray">
        <fgColor rgb="FFDBFFB7"/>
        <bgColor theme="0"/>
      </patternFill>
    </fill>
    <fill>
      <patternFill patternType="mediumGray">
        <fgColor rgb="FFFFC000"/>
        <bgColor theme="0"/>
      </patternFill>
    </fill>
  </fills>
  <borders count="8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 style="hair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hair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/>
      <right style="hair">
        <color indexed="64"/>
      </right>
      <top style="hair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hair">
        <color theme="0" tint="-0.14996795556505021"/>
      </top>
      <bottom/>
      <diagonal/>
    </border>
    <border>
      <left/>
      <right style="hair">
        <color indexed="64"/>
      </right>
      <top/>
      <bottom style="hair">
        <color theme="0" tint="-0.14996795556505021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theme="0" tint="-0.14996795556505021"/>
      </bottom>
      <diagonal/>
    </border>
    <border>
      <left style="hair">
        <color indexed="64"/>
      </left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indexed="64"/>
      </left>
      <right style="hair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indexed="64"/>
      </left>
      <right style="medium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F2591C"/>
      </left>
      <right/>
      <top style="thick">
        <color rgb="FFF2591C"/>
      </top>
      <bottom style="thick">
        <color rgb="FFF2591C"/>
      </bottom>
      <diagonal/>
    </border>
    <border>
      <left/>
      <right style="thick">
        <color rgb="FFF2591C"/>
      </right>
      <top style="thick">
        <color rgb="FFF2591C"/>
      </top>
      <bottom style="thick">
        <color rgb="FFF2591C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0" tint="-0.1499679555650502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63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Fill="1" applyBorder="1"/>
    <xf numFmtId="38" fontId="14" fillId="0" borderId="2" xfId="1" applyFont="1" applyBorder="1" applyAlignment="1"/>
    <xf numFmtId="0" fontId="16" fillId="0" borderId="0" xfId="0" applyFont="1"/>
    <xf numFmtId="38" fontId="14" fillId="0" borderId="0" xfId="1" applyFont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8" fontId="4" fillId="0" borderId="0" xfId="1" applyFont="1" applyFill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/>
    <xf numFmtId="0" fontId="23" fillId="0" borderId="0" xfId="0" applyFont="1" applyFill="1"/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78" fontId="31" fillId="0" borderId="0" xfId="0" applyNumberFormat="1" applyFont="1" applyFill="1" applyBorder="1" applyAlignment="1">
      <alignment horizontal="right" vertical="center"/>
    </xf>
    <xf numFmtId="178" fontId="28" fillId="0" borderId="0" xfId="0" applyNumberFormat="1" applyFont="1" applyFill="1" applyBorder="1" applyAlignment="1">
      <alignment horizontal="right" vertical="center"/>
    </xf>
    <xf numFmtId="178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Border="1"/>
    <xf numFmtId="178" fontId="26" fillId="0" borderId="0" xfId="0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 wrapText="1"/>
    </xf>
    <xf numFmtId="0" fontId="31" fillId="4" borderId="10" xfId="0" applyFont="1" applyFill="1" applyBorder="1" applyAlignment="1">
      <alignment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horizontal="right" vertical="center"/>
    </xf>
    <xf numFmtId="0" fontId="31" fillId="4" borderId="11" xfId="0" applyFont="1" applyFill="1" applyBorder="1"/>
    <xf numFmtId="0" fontId="31" fillId="4" borderId="12" xfId="0" applyFont="1" applyFill="1" applyBorder="1"/>
    <xf numFmtId="0" fontId="26" fillId="4" borderId="0" xfId="0" applyFont="1" applyFill="1" applyBorder="1" applyAlignment="1">
      <alignment vertical="center"/>
    </xf>
    <xf numFmtId="0" fontId="26" fillId="4" borderId="13" xfId="0" applyFont="1" applyFill="1" applyBorder="1"/>
    <xf numFmtId="0" fontId="26" fillId="4" borderId="9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/>
    </xf>
    <xf numFmtId="0" fontId="26" fillId="4" borderId="14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vertical="center"/>
    </xf>
    <xf numFmtId="0" fontId="26" fillId="4" borderId="6" xfId="0" applyFont="1" applyFill="1" applyBorder="1" applyAlignment="1">
      <alignment horizontal="center" vertical="center"/>
    </xf>
    <xf numFmtId="0" fontId="37" fillId="4" borderId="6" xfId="0" applyFont="1" applyFill="1" applyBorder="1" applyAlignment="1">
      <alignment vertical="center" wrapText="1"/>
    </xf>
    <xf numFmtId="0" fontId="37" fillId="4" borderId="15" xfId="0" applyFont="1" applyFill="1" applyBorder="1" applyAlignment="1">
      <alignment vertical="center" wrapText="1"/>
    </xf>
    <xf numFmtId="0" fontId="23" fillId="4" borderId="6" xfId="0" applyFont="1" applyFill="1" applyBorder="1" applyAlignment="1">
      <alignment vertical="center"/>
    </xf>
    <xf numFmtId="0" fontId="36" fillId="4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center"/>
    </xf>
    <xf numFmtId="0" fontId="23" fillId="4" borderId="11" xfId="0" applyFont="1" applyFill="1" applyBorder="1" applyAlignment="1">
      <alignment vertical="center"/>
    </xf>
    <xf numFmtId="0" fontId="23" fillId="4" borderId="12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left" vertical="center" indent="1"/>
    </xf>
    <xf numFmtId="0" fontId="23" fillId="4" borderId="15" xfId="0" applyFont="1" applyFill="1" applyBorder="1" applyAlignment="1">
      <alignment vertical="center"/>
    </xf>
    <xf numFmtId="0" fontId="30" fillId="0" borderId="9" xfId="0" applyFont="1" applyFill="1" applyBorder="1" applyAlignment="1">
      <alignment horizontal="left" vertical="center" indent="1"/>
    </xf>
    <xf numFmtId="0" fontId="28" fillId="0" borderId="13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horizontal="right" vertical="center"/>
    </xf>
    <xf numFmtId="0" fontId="28" fillId="0" borderId="9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3" xfId="1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178" fontId="28" fillId="0" borderId="13" xfId="0" applyNumberFormat="1" applyFont="1" applyFill="1" applyBorder="1" applyAlignment="1">
      <alignment horizontal="right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left" vertical="center" indent="1"/>
    </xf>
    <xf numFmtId="178" fontId="28" fillId="0" borderId="9" xfId="0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2" xfId="0" applyFont="1" applyBorder="1" applyAlignment="1">
      <alignment horizontal="center" vertical="center"/>
    </xf>
    <xf numFmtId="38" fontId="22" fillId="0" borderId="2" xfId="1" applyFont="1" applyBorder="1" applyAlignment="1">
      <alignment vertical="center"/>
    </xf>
    <xf numFmtId="3" fontId="27" fillId="0" borderId="0" xfId="0" applyNumberFormat="1" applyFont="1" applyAlignment="1">
      <alignment vertical="center"/>
    </xf>
    <xf numFmtId="38" fontId="27" fillId="0" borderId="0" xfId="1" applyFont="1" applyAlignment="1">
      <alignment vertical="center"/>
    </xf>
    <xf numFmtId="3" fontId="22" fillId="0" borderId="2" xfId="0" applyNumberFormat="1" applyFont="1" applyBorder="1" applyAlignment="1">
      <alignment vertical="center"/>
    </xf>
    <xf numFmtId="0" fontId="22" fillId="3" borderId="2" xfId="0" applyFont="1" applyFill="1" applyBorder="1" applyAlignment="1">
      <alignment horizontal="center" vertical="center"/>
    </xf>
    <xf numFmtId="3" fontId="22" fillId="3" borderId="2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41" fillId="0" borderId="0" xfId="0" applyFont="1" applyFill="1" applyAlignment="1"/>
    <xf numFmtId="0" fontId="42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left" vertical="center"/>
    </xf>
    <xf numFmtId="0" fontId="42" fillId="0" borderId="0" xfId="0" applyFont="1" applyFill="1"/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44" fillId="0" borderId="0" xfId="0" applyFont="1" applyFill="1" applyBorder="1"/>
    <xf numFmtId="0" fontId="44" fillId="0" borderId="0" xfId="0" applyFont="1" applyFill="1" applyBorder="1" applyAlignment="1">
      <alignment vertical="center"/>
    </xf>
    <xf numFmtId="38" fontId="22" fillId="0" borderId="0" xfId="1" applyFont="1" applyBorder="1" applyAlignment="1">
      <alignment vertical="center"/>
    </xf>
    <xf numFmtId="38" fontId="27" fillId="6" borderId="0" xfId="1" applyFont="1" applyFill="1" applyAlignment="1">
      <alignment vertical="center"/>
    </xf>
    <xf numFmtId="0" fontId="45" fillId="0" borderId="0" xfId="0" applyFont="1" applyFill="1" applyAlignment="1">
      <alignment horizontal="right" vertical="center"/>
    </xf>
    <xf numFmtId="0" fontId="46" fillId="0" borderId="0" xfId="0" applyFont="1" applyAlignment="1">
      <alignment vertical="center"/>
    </xf>
    <xf numFmtId="0" fontId="22" fillId="7" borderId="2" xfId="0" applyFont="1" applyFill="1" applyBorder="1" applyAlignment="1">
      <alignment horizontal="center" vertical="center"/>
    </xf>
    <xf numFmtId="0" fontId="48" fillId="0" borderId="0" xfId="0" applyFont="1"/>
    <xf numFmtId="3" fontId="22" fillId="0" borderId="2" xfId="0" applyNumberFormat="1" applyFont="1" applyBorder="1" applyAlignment="1">
      <alignment horizontal="center" vertical="center"/>
    </xf>
    <xf numFmtId="0" fontId="49" fillId="0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2" fillId="0" borderId="0" xfId="0" applyNumberFormat="1" applyFont="1" applyFill="1" applyAlignment="1">
      <alignment horizontal="center" vertical="center" shrinkToFit="1"/>
    </xf>
    <xf numFmtId="0" fontId="52" fillId="0" borderId="0" xfId="1" applyNumberFormat="1" applyFont="1" applyFill="1" applyAlignment="1">
      <alignment horizontal="center" vertical="center" shrinkToFit="1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53" fillId="0" borderId="0" xfId="0" applyFont="1" applyFill="1" applyAlignment="1">
      <alignment vertical="top" wrapText="1"/>
    </xf>
    <xf numFmtId="0" fontId="54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 applyProtection="1">
      <alignment vertical="top" wrapText="1"/>
      <protection locked="0"/>
    </xf>
    <xf numFmtId="0" fontId="28" fillId="3" borderId="44" xfId="0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 applyProtection="1">
      <alignment horizontal="center" vertical="center"/>
    </xf>
    <xf numFmtId="0" fontId="28" fillId="3" borderId="43" xfId="0" applyFont="1" applyFill="1" applyBorder="1" applyAlignment="1" applyProtection="1">
      <alignment horizontal="center" vertical="center"/>
    </xf>
    <xf numFmtId="0" fontId="59" fillId="0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38" fontId="59" fillId="0" borderId="0" xfId="1" applyFont="1" applyAlignment="1">
      <alignment vertical="center"/>
    </xf>
    <xf numFmtId="0" fontId="6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64" fillId="5" borderId="0" xfId="0" applyFont="1" applyFill="1" applyAlignment="1" applyProtection="1">
      <alignment horizontal="center" vertical="center"/>
    </xf>
    <xf numFmtId="38" fontId="61" fillId="0" borderId="0" xfId="1" applyFont="1" applyAlignment="1">
      <alignment vertical="center"/>
    </xf>
    <xf numFmtId="0" fontId="61" fillId="5" borderId="0" xfId="0" applyFont="1" applyFill="1" applyAlignment="1" applyProtection="1">
      <alignment horizontal="center" vertical="center"/>
    </xf>
    <xf numFmtId="0" fontId="64" fillId="0" borderId="0" xfId="0" applyFont="1" applyAlignment="1">
      <alignment vertical="center"/>
    </xf>
    <xf numFmtId="0" fontId="45" fillId="0" borderId="0" xfId="0" applyFont="1" applyFill="1" applyAlignment="1">
      <alignment horizontal="right"/>
    </xf>
    <xf numFmtId="0" fontId="45" fillId="0" borderId="0" xfId="0" applyFont="1" applyFill="1" applyBorder="1" applyAlignment="1">
      <alignment horizontal="right" vertical="top"/>
    </xf>
    <xf numFmtId="0" fontId="28" fillId="3" borderId="74" xfId="0" applyFont="1" applyFill="1" applyBorder="1" applyAlignment="1" applyProtection="1">
      <alignment horizontal="center" vertical="center"/>
    </xf>
    <xf numFmtId="176" fontId="28" fillId="0" borderId="73" xfId="0" applyNumberFormat="1" applyFont="1" applyFill="1" applyBorder="1" applyAlignment="1" applyProtection="1">
      <alignment horizontal="center" vertical="center"/>
      <protection locked="0"/>
    </xf>
    <xf numFmtId="176" fontId="28" fillId="3" borderId="77" xfId="0" applyNumberFormat="1" applyFont="1" applyFill="1" applyBorder="1" applyAlignment="1" applyProtection="1">
      <alignment horizontal="center" vertical="center"/>
      <protection locked="0"/>
    </xf>
    <xf numFmtId="0" fontId="28" fillId="0" borderId="76" xfId="0" applyFont="1" applyFill="1" applyBorder="1" applyAlignment="1" applyProtection="1">
      <alignment horizontal="center" vertical="center"/>
    </xf>
    <xf numFmtId="176" fontId="28" fillId="0" borderId="77" xfId="0" applyNumberFormat="1" applyFont="1" applyFill="1" applyBorder="1" applyAlignment="1" applyProtection="1">
      <alignment horizontal="center" vertical="center"/>
      <protection locked="0"/>
    </xf>
    <xf numFmtId="0" fontId="28" fillId="3" borderId="76" xfId="0" applyFont="1" applyFill="1" applyBorder="1" applyAlignment="1" applyProtection="1">
      <alignment horizontal="center" vertical="center"/>
    </xf>
    <xf numFmtId="38" fontId="28" fillId="3" borderId="76" xfId="1" applyFont="1" applyFill="1" applyBorder="1" applyAlignment="1" applyProtection="1">
      <alignment horizontal="center" vertical="center"/>
    </xf>
    <xf numFmtId="0" fontId="28" fillId="3" borderId="77" xfId="0" applyFont="1" applyFill="1" applyBorder="1" applyAlignment="1" applyProtection="1">
      <alignment horizontal="center" vertical="center"/>
    </xf>
    <xf numFmtId="0" fontId="5" fillId="0" borderId="78" xfId="0" applyFont="1" applyFill="1" applyBorder="1" applyAlignment="1" applyProtection="1">
      <alignment horizontal="center" vertical="center"/>
    </xf>
    <xf numFmtId="0" fontId="28" fillId="3" borderId="73" xfId="0" applyFont="1" applyFill="1" applyBorder="1" applyAlignment="1" applyProtection="1">
      <alignment horizontal="center" vertical="center"/>
    </xf>
    <xf numFmtId="38" fontId="28" fillId="3" borderId="74" xfId="1" applyFont="1" applyFill="1" applyBorder="1" applyAlignment="1" applyProtection="1">
      <alignment horizontal="center" vertical="center"/>
    </xf>
    <xf numFmtId="0" fontId="79" fillId="0" borderId="0" xfId="0" applyFont="1" applyFill="1"/>
    <xf numFmtId="0" fontId="79" fillId="0" borderId="0" xfId="0" applyFont="1" applyFill="1" applyAlignment="1">
      <alignment vertical="center"/>
    </xf>
    <xf numFmtId="0" fontId="79" fillId="0" borderId="0" xfId="0" applyFont="1" applyAlignment="1">
      <alignment vertical="center"/>
    </xf>
    <xf numFmtId="0" fontId="79" fillId="0" borderId="0" xfId="0" applyFont="1" applyFill="1" applyProtection="1">
      <protection locked="0"/>
    </xf>
    <xf numFmtId="38" fontId="79" fillId="0" borderId="0" xfId="1" applyFont="1" applyFill="1" applyAlignment="1">
      <alignment vertical="center"/>
    </xf>
    <xf numFmtId="0" fontId="80" fillId="0" borderId="0" xfId="0" applyFont="1" applyFill="1" applyAlignment="1">
      <alignment vertical="center" wrapText="1"/>
    </xf>
    <xf numFmtId="0" fontId="81" fillId="0" borderId="0" xfId="0" applyFont="1" applyAlignment="1">
      <alignment vertical="center"/>
    </xf>
    <xf numFmtId="0" fontId="79" fillId="0" borderId="0" xfId="0" applyFont="1" applyFill="1" applyAlignment="1" applyProtection="1">
      <alignment vertical="center"/>
      <protection locked="0"/>
    </xf>
    <xf numFmtId="38" fontId="79" fillId="0" borderId="0" xfId="1" applyFont="1" applyFill="1" applyAlignment="1">
      <alignment shrinkToFit="1"/>
    </xf>
    <xf numFmtId="38" fontId="79" fillId="0" borderId="0" xfId="1" applyFont="1" applyFill="1" applyAlignment="1">
      <alignment vertical="center" shrinkToFit="1"/>
    </xf>
    <xf numFmtId="38" fontId="79" fillId="0" borderId="0" xfId="1" applyFont="1" applyFill="1"/>
    <xf numFmtId="0" fontId="82" fillId="5" borderId="0" xfId="0" applyFont="1" applyFill="1" applyAlignment="1" applyProtection="1">
      <alignment horizontal="center" vertical="center"/>
    </xf>
    <xf numFmtId="38" fontId="79" fillId="0" borderId="0" xfId="1" applyFont="1" applyAlignment="1">
      <alignment vertical="center"/>
    </xf>
    <xf numFmtId="0" fontId="79" fillId="5" borderId="0" xfId="0" applyFont="1" applyFill="1" applyAlignment="1" applyProtection="1">
      <alignment horizontal="center" vertical="center"/>
    </xf>
    <xf numFmtId="0" fontId="83" fillId="0" borderId="0" xfId="0" applyFont="1" applyFill="1" applyAlignment="1">
      <alignment vertical="center"/>
    </xf>
    <xf numFmtId="0" fontId="82" fillId="0" borderId="0" xfId="0" applyFont="1" applyFill="1" applyAlignment="1" applyProtection="1">
      <alignment horizontal="center" vertical="center"/>
      <protection locked="0"/>
    </xf>
    <xf numFmtId="0" fontId="82" fillId="0" borderId="0" xfId="0" applyFont="1" applyFill="1" applyAlignment="1">
      <alignment vertical="center"/>
    </xf>
    <xf numFmtId="0" fontId="82" fillId="0" borderId="0" xfId="0" applyFont="1" applyFill="1"/>
    <xf numFmtId="0" fontId="84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22" fillId="11" borderId="65" xfId="0" applyFont="1" applyFill="1" applyBorder="1" applyAlignment="1" applyProtection="1">
      <alignment horizontal="center" vertical="center"/>
      <protection locked="0"/>
    </xf>
    <xf numFmtId="0" fontId="22" fillId="11" borderId="58" xfId="0" applyFont="1" applyFill="1" applyBorder="1" applyAlignment="1" applyProtection="1">
      <alignment horizontal="center" vertical="center"/>
      <protection locked="0"/>
    </xf>
    <xf numFmtId="0" fontId="22" fillId="11" borderId="59" xfId="0" applyFont="1" applyFill="1" applyBorder="1" applyAlignment="1" applyProtection="1">
      <alignment horizontal="center" vertical="center"/>
      <protection locked="0"/>
    </xf>
    <xf numFmtId="0" fontId="23" fillId="13" borderId="70" xfId="0" applyFont="1" applyFill="1" applyBorder="1" applyAlignment="1" applyProtection="1">
      <alignment horizontal="center" vertical="center"/>
      <protection locked="0"/>
    </xf>
    <xf numFmtId="0" fontId="23" fillId="13" borderId="60" xfId="0" applyFont="1" applyFill="1" applyBorder="1" applyAlignment="1" applyProtection="1">
      <alignment horizontal="center" vertical="center"/>
      <protection locked="0"/>
    </xf>
    <xf numFmtId="0" fontId="23" fillId="13" borderId="67" xfId="0" applyFont="1" applyFill="1" applyBorder="1" applyAlignment="1" applyProtection="1">
      <alignment horizontal="center" vertical="center"/>
      <protection locked="0"/>
    </xf>
    <xf numFmtId="0" fontId="23" fillId="13" borderId="71" xfId="0" applyFont="1" applyFill="1" applyBorder="1" applyAlignment="1" applyProtection="1">
      <alignment horizontal="center" vertical="center"/>
      <protection locked="0"/>
    </xf>
    <xf numFmtId="0" fontId="23" fillId="13" borderId="72" xfId="0" applyFont="1" applyFill="1" applyBorder="1" applyAlignment="1" applyProtection="1">
      <alignment horizontal="center" vertical="center"/>
      <protection locked="0"/>
    </xf>
    <xf numFmtId="0" fontId="23" fillId="13" borderId="62" xfId="0" applyFont="1" applyFill="1" applyBorder="1" applyAlignment="1" applyProtection="1">
      <alignment horizontal="center" vertical="center"/>
      <protection locked="0"/>
    </xf>
    <xf numFmtId="0" fontId="23" fillId="0" borderId="85" xfId="0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center" vertical="center"/>
    </xf>
    <xf numFmtId="0" fontId="29" fillId="12" borderId="46" xfId="0" applyNumberFormat="1" applyFont="1" applyFill="1" applyBorder="1" applyAlignment="1" applyProtection="1">
      <alignment horizontal="center" vertical="center"/>
      <protection locked="0"/>
    </xf>
    <xf numFmtId="0" fontId="29" fillId="12" borderId="47" xfId="0" applyNumberFormat="1" applyFont="1" applyFill="1" applyBorder="1" applyAlignment="1" applyProtection="1">
      <alignment horizontal="center" vertical="center"/>
      <protection locked="0"/>
    </xf>
    <xf numFmtId="0" fontId="78" fillId="12" borderId="65" xfId="0" applyNumberFormat="1" applyFont="1" applyFill="1" applyBorder="1" applyAlignment="1" applyProtection="1">
      <alignment horizontal="center" vertical="center"/>
      <protection locked="0"/>
    </xf>
    <xf numFmtId="0" fontId="78" fillId="12" borderId="59" xfId="0" applyNumberFormat="1" applyFont="1" applyFill="1" applyBorder="1" applyAlignment="1" applyProtection="1">
      <alignment horizontal="center" vertical="center"/>
      <protection locked="0"/>
    </xf>
    <xf numFmtId="0" fontId="27" fillId="9" borderId="46" xfId="0" applyNumberFormat="1" applyFont="1" applyFill="1" applyBorder="1" applyAlignment="1" applyProtection="1">
      <alignment horizontal="center" vertical="center"/>
      <protection locked="0"/>
    </xf>
    <xf numFmtId="0" fontId="27" fillId="9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 vertical="center"/>
    </xf>
    <xf numFmtId="177" fontId="29" fillId="0" borderId="9" xfId="1" applyNumberFormat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>
      <alignment horizontal="center" vertical="center"/>
    </xf>
    <xf numFmtId="177" fontId="29" fillId="0" borderId="13" xfId="1" applyNumberFormat="1" applyFont="1" applyFill="1" applyBorder="1" applyAlignment="1">
      <alignment horizontal="center" vertical="center"/>
    </xf>
    <xf numFmtId="177" fontId="29" fillId="0" borderId="14" xfId="1" applyNumberFormat="1" applyFont="1" applyFill="1" applyBorder="1" applyAlignment="1">
      <alignment horizontal="center" vertical="center"/>
    </xf>
    <xf numFmtId="177" fontId="29" fillId="0" borderId="6" xfId="1" applyNumberFormat="1" applyFont="1" applyFill="1" applyBorder="1" applyAlignment="1">
      <alignment horizontal="center" vertical="center"/>
    </xf>
    <xf numFmtId="177" fontId="29" fillId="0" borderId="15" xfId="1" applyNumberFormat="1" applyFont="1" applyFill="1" applyBorder="1" applyAlignment="1">
      <alignment horizontal="center" vertical="center"/>
    </xf>
    <xf numFmtId="178" fontId="67" fillId="0" borderId="4" xfId="0" applyNumberFormat="1" applyFont="1" applyFill="1" applyBorder="1" applyAlignment="1">
      <alignment horizontal="right" vertical="center"/>
    </xf>
    <xf numFmtId="178" fontId="67" fillId="0" borderId="5" xfId="0" applyNumberFormat="1" applyFont="1" applyFill="1" applyBorder="1" applyAlignment="1">
      <alignment horizontal="right" vertical="center"/>
    </xf>
    <xf numFmtId="178" fontId="28" fillId="0" borderId="14" xfId="0" applyNumberFormat="1" applyFont="1" applyFill="1" applyBorder="1" applyAlignment="1">
      <alignment horizontal="center" vertical="center"/>
    </xf>
    <xf numFmtId="178" fontId="28" fillId="0" borderId="6" xfId="0" applyNumberFormat="1" applyFont="1" applyFill="1" applyBorder="1" applyAlignment="1">
      <alignment horizontal="center" vertical="center"/>
    </xf>
    <xf numFmtId="178" fontId="28" fillId="0" borderId="15" xfId="0" applyNumberFormat="1" applyFont="1" applyFill="1" applyBorder="1" applyAlignment="1">
      <alignment horizontal="center"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178" fontId="26" fillId="0" borderId="6" xfId="0" applyNumberFormat="1" applyFont="1" applyFill="1" applyBorder="1" applyAlignment="1">
      <alignment horizontal="right" vertical="center"/>
    </xf>
    <xf numFmtId="176" fontId="26" fillId="3" borderId="57" xfId="0" applyNumberFormat="1" applyFont="1" applyFill="1" applyBorder="1" applyAlignment="1" applyProtection="1">
      <alignment horizontal="right" vertical="center"/>
    </xf>
    <xf numFmtId="176" fontId="26" fillId="3" borderId="58" xfId="0" applyNumberFormat="1" applyFont="1" applyFill="1" applyBorder="1" applyAlignment="1" applyProtection="1">
      <alignment horizontal="right" vertical="center"/>
    </xf>
    <xf numFmtId="176" fontId="26" fillId="3" borderId="59" xfId="0" applyNumberFormat="1" applyFont="1" applyFill="1" applyBorder="1" applyAlignment="1" applyProtection="1">
      <alignment horizontal="right" vertical="center"/>
    </xf>
    <xf numFmtId="176" fontId="26" fillId="10" borderId="51" xfId="0" applyNumberFormat="1" applyFont="1" applyFill="1" applyBorder="1" applyAlignment="1" applyProtection="1">
      <alignment horizontal="right" vertical="center"/>
      <protection locked="0"/>
    </xf>
    <xf numFmtId="176" fontId="26" fillId="10" borderId="8" xfId="0" applyNumberFormat="1" applyFont="1" applyFill="1" applyBorder="1" applyAlignment="1" applyProtection="1">
      <alignment horizontal="right" vertical="center"/>
      <protection locked="0"/>
    </xf>
    <xf numFmtId="176" fontId="26" fillId="10" borderId="52" xfId="0" applyNumberFormat="1" applyFont="1" applyFill="1" applyBorder="1" applyAlignment="1" applyProtection="1">
      <alignment horizontal="right" vertical="center"/>
      <protection locked="0"/>
    </xf>
    <xf numFmtId="176" fontId="26" fillId="10" borderId="53" xfId="0" applyNumberFormat="1" applyFont="1" applyFill="1" applyBorder="1" applyAlignment="1" applyProtection="1">
      <alignment horizontal="right" vertical="center"/>
      <protection locked="0"/>
    </xf>
    <xf numFmtId="176" fontId="26" fillId="10" borderId="54" xfId="0" applyNumberFormat="1" applyFont="1" applyFill="1" applyBorder="1" applyAlignment="1" applyProtection="1">
      <alignment horizontal="right" vertical="center"/>
      <protection locked="0"/>
    </xf>
    <xf numFmtId="176" fontId="26" fillId="10" borderId="55" xfId="0" applyNumberFormat="1" applyFont="1" applyFill="1" applyBorder="1" applyAlignment="1" applyProtection="1">
      <alignment horizontal="right" vertical="center"/>
      <protection locked="0"/>
    </xf>
    <xf numFmtId="176" fontId="26" fillId="0" borderId="57" xfId="0" applyNumberFormat="1" applyFont="1" applyFill="1" applyBorder="1" applyAlignment="1" applyProtection="1">
      <alignment horizontal="right" vertical="center"/>
    </xf>
    <xf numFmtId="176" fontId="26" fillId="0" borderId="58" xfId="0" applyNumberFormat="1" applyFont="1" applyFill="1" applyBorder="1" applyAlignment="1" applyProtection="1">
      <alignment horizontal="right" vertical="center"/>
    </xf>
    <xf numFmtId="176" fontId="26" fillId="0" borderId="59" xfId="0" applyNumberFormat="1" applyFont="1" applyFill="1" applyBorder="1" applyAlignment="1" applyProtection="1">
      <alignment horizontal="right" vertical="center"/>
    </xf>
    <xf numFmtId="176" fontId="26" fillId="10" borderId="28" xfId="1" applyNumberFormat="1" applyFont="1" applyFill="1" applyBorder="1" applyAlignment="1" applyProtection="1">
      <alignment horizontal="right" vertical="center"/>
      <protection locked="0"/>
    </xf>
    <xf numFmtId="176" fontId="26" fillId="10" borderId="29" xfId="1" applyNumberFormat="1" applyFont="1" applyFill="1" applyBorder="1" applyAlignment="1" applyProtection="1">
      <alignment horizontal="right" vertical="center"/>
      <protection locked="0"/>
    </xf>
    <xf numFmtId="176" fontId="26" fillId="10" borderId="30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/>
    </xf>
    <xf numFmtId="176" fontId="26" fillId="3" borderId="38" xfId="0" applyNumberFormat="1" applyFont="1" applyFill="1" applyBorder="1" applyAlignment="1" applyProtection="1">
      <alignment horizontal="right" vertical="center"/>
    </xf>
    <xf numFmtId="176" fontId="26" fillId="3" borderId="39" xfId="0" applyNumberFormat="1" applyFont="1" applyFill="1" applyBorder="1" applyAlignment="1" applyProtection="1">
      <alignment horizontal="right" vertical="center"/>
    </xf>
    <xf numFmtId="176" fontId="26" fillId="10" borderId="28" xfId="0" applyNumberFormat="1" applyFont="1" applyFill="1" applyBorder="1" applyAlignment="1" applyProtection="1">
      <alignment horizontal="right" vertical="center"/>
      <protection locked="0"/>
    </xf>
    <xf numFmtId="176" fontId="26" fillId="10" borderId="29" xfId="0" applyNumberFormat="1" applyFont="1" applyFill="1" applyBorder="1" applyAlignment="1" applyProtection="1">
      <alignment horizontal="right" vertical="center"/>
      <protection locked="0"/>
    </xf>
    <xf numFmtId="176" fontId="26" fillId="10" borderId="30" xfId="0" applyNumberFormat="1" applyFont="1" applyFill="1" applyBorder="1" applyAlignment="1" applyProtection="1">
      <alignment horizontal="right" vertical="center"/>
      <protection locked="0"/>
    </xf>
    <xf numFmtId="0" fontId="54" fillId="0" borderId="0" xfId="0" applyFont="1" applyFill="1" applyAlignment="1">
      <alignment horizontal="left" vertical="center"/>
    </xf>
    <xf numFmtId="178" fontId="69" fillId="0" borderId="4" xfId="0" applyNumberFormat="1" applyFont="1" applyFill="1" applyBorder="1" applyAlignment="1">
      <alignment horizontal="right" vertical="center"/>
    </xf>
    <xf numFmtId="178" fontId="69" fillId="0" borderId="5" xfId="0" applyNumberFormat="1" applyFont="1" applyFill="1" applyBorder="1" applyAlignment="1">
      <alignment horizontal="right" vertical="center"/>
    </xf>
    <xf numFmtId="0" fontId="41" fillId="0" borderId="0" xfId="0" applyFont="1" applyFill="1" applyBorder="1" applyAlignment="1"/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2" xfId="0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22" xfId="0" applyFont="1" applyFill="1" applyBorder="1" applyAlignment="1" applyProtection="1">
      <alignment horizontal="center" vertical="center" wrapText="1"/>
    </xf>
    <xf numFmtId="176" fontId="26" fillId="0" borderId="66" xfId="0" quotePrefix="1" applyNumberFormat="1" applyFont="1" applyFill="1" applyBorder="1" applyAlignment="1">
      <alignment horizontal="right" vertical="center"/>
    </xf>
    <xf numFmtId="176" fontId="26" fillId="0" borderId="14" xfId="0" quotePrefix="1" applyNumberFormat="1" applyFont="1" applyFill="1" applyBorder="1" applyAlignment="1">
      <alignment horizontal="right" vertical="center"/>
    </xf>
    <xf numFmtId="176" fontId="26" fillId="0" borderId="1" xfId="0" quotePrefix="1" applyNumberFormat="1" applyFont="1" applyFill="1" applyBorder="1" applyAlignment="1">
      <alignment horizontal="right" vertical="center"/>
    </xf>
    <xf numFmtId="176" fontId="26" fillId="0" borderId="26" xfId="0" quotePrefix="1" applyNumberFormat="1" applyFont="1" applyFill="1" applyBorder="1" applyAlignment="1">
      <alignment horizontal="right" vertical="center"/>
    </xf>
    <xf numFmtId="176" fontId="26" fillId="0" borderId="12" xfId="0" quotePrefix="1" applyNumberFormat="1" applyFont="1" applyFill="1" applyBorder="1" applyAlignment="1">
      <alignment horizontal="right" vertical="center"/>
    </xf>
    <xf numFmtId="176" fontId="26" fillId="0" borderId="7" xfId="0" quotePrefix="1" applyNumberFormat="1" applyFont="1" applyFill="1" applyBorder="1" applyAlignment="1">
      <alignment horizontal="right" vertical="center"/>
    </xf>
    <xf numFmtId="176" fontId="26" fillId="0" borderId="10" xfId="0" quotePrefix="1" applyNumberFormat="1" applyFont="1" applyFill="1" applyBorder="1" applyAlignment="1">
      <alignment horizontal="right" vertical="center"/>
    </xf>
    <xf numFmtId="176" fontId="26" fillId="3" borderId="23" xfId="0" quotePrefix="1" applyNumberFormat="1" applyFont="1" applyFill="1" applyBorder="1" applyAlignment="1">
      <alignment horizontal="right" vertical="center"/>
    </xf>
    <xf numFmtId="176" fontId="26" fillId="3" borderId="75" xfId="0" quotePrefix="1" applyNumberFormat="1" applyFont="1" applyFill="1" applyBorder="1" applyAlignment="1">
      <alignment horizontal="right" vertical="center"/>
    </xf>
    <xf numFmtId="176" fontId="26" fillId="3" borderId="1" xfId="0" quotePrefix="1" applyNumberFormat="1" applyFont="1" applyFill="1" applyBorder="1" applyAlignment="1">
      <alignment horizontal="right" vertical="center"/>
    </xf>
    <xf numFmtId="176" fontId="26" fillId="3" borderId="64" xfId="0" quotePrefix="1" applyNumberFormat="1" applyFont="1" applyFill="1" applyBorder="1" applyAlignment="1">
      <alignment horizontal="right" vertical="center"/>
    </xf>
    <xf numFmtId="176" fontId="26" fillId="3" borderId="12" xfId="0" quotePrefix="1" applyNumberFormat="1" applyFont="1" applyFill="1" applyBorder="1" applyAlignment="1">
      <alignment horizontal="right" vertical="center"/>
    </xf>
    <xf numFmtId="176" fontId="26" fillId="3" borderId="7" xfId="0" quotePrefix="1" applyNumberFormat="1" applyFont="1" applyFill="1" applyBorder="1" applyAlignment="1">
      <alignment horizontal="right" vertical="center"/>
    </xf>
    <xf numFmtId="176" fontId="26" fillId="3" borderId="61" xfId="0" quotePrefix="1" applyNumberFormat="1" applyFont="1" applyFill="1" applyBorder="1" applyAlignment="1">
      <alignment horizontal="right" vertical="center"/>
    </xf>
    <xf numFmtId="176" fontId="26" fillId="0" borderId="23" xfId="0" quotePrefix="1" applyNumberFormat="1" applyFont="1" applyFill="1" applyBorder="1" applyAlignment="1">
      <alignment horizontal="right" vertical="center"/>
    </xf>
    <xf numFmtId="176" fontId="26" fillId="0" borderId="75" xfId="0" quotePrefix="1" applyNumberFormat="1" applyFont="1" applyFill="1" applyBorder="1" applyAlignment="1">
      <alignment horizontal="right" vertical="center"/>
    </xf>
    <xf numFmtId="176" fontId="26" fillId="0" borderId="64" xfId="0" quotePrefix="1" applyNumberFormat="1" applyFont="1" applyFill="1" applyBorder="1" applyAlignment="1">
      <alignment horizontal="right" vertical="center"/>
    </xf>
    <xf numFmtId="176" fontId="26" fillId="0" borderId="82" xfId="0" quotePrefix="1" applyNumberFormat="1" applyFont="1" applyFill="1" applyBorder="1" applyAlignment="1">
      <alignment horizontal="right" vertical="center"/>
    </xf>
    <xf numFmtId="176" fontId="26" fillId="0" borderId="22" xfId="0" quotePrefix="1" applyNumberFormat="1" applyFont="1" applyFill="1" applyBorder="1" applyAlignment="1">
      <alignment horizontal="right" vertical="center"/>
    </xf>
    <xf numFmtId="176" fontId="26" fillId="0" borderId="83" xfId="0" quotePrefix="1" applyNumberFormat="1" applyFont="1" applyFill="1" applyBorder="1" applyAlignment="1">
      <alignment horizontal="right" vertical="center"/>
    </xf>
    <xf numFmtId="176" fontId="26" fillId="3" borderId="82" xfId="0" quotePrefix="1" applyNumberFormat="1" applyFont="1" applyFill="1" applyBorder="1" applyAlignment="1">
      <alignment horizontal="right" vertical="center"/>
    </xf>
    <xf numFmtId="176" fontId="26" fillId="3" borderId="22" xfId="0" quotePrefix="1" applyNumberFormat="1" applyFont="1" applyFill="1" applyBorder="1" applyAlignment="1">
      <alignment horizontal="right" vertical="center"/>
    </xf>
    <xf numFmtId="176" fontId="26" fillId="3" borderId="83" xfId="0" quotePrefix="1" applyNumberFormat="1" applyFont="1" applyFill="1" applyBorder="1" applyAlignment="1">
      <alignment horizontal="right" vertical="center"/>
    </xf>
    <xf numFmtId="176" fontId="26" fillId="3" borderId="66" xfId="0" quotePrefix="1" applyNumberFormat="1" applyFont="1" applyFill="1" applyBorder="1" applyAlignment="1">
      <alignment horizontal="right" vertical="center"/>
    </xf>
    <xf numFmtId="176" fontId="26" fillId="3" borderId="63" xfId="0" quotePrefix="1" applyNumberFormat="1" applyFont="1" applyFill="1" applyBorder="1" applyAlignment="1">
      <alignment horizontal="right" vertical="center"/>
    </xf>
    <xf numFmtId="38" fontId="22" fillId="4" borderId="26" xfId="1" applyFont="1" applyFill="1" applyBorder="1" applyAlignment="1">
      <alignment horizontal="center" vertical="center"/>
    </xf>
    <xf numFmtId="38" fontId="22" fillId="4" borderId="24" xfId="1" applyFont="1" applyFill="1" applyBorder="1" applyAlignment="1">
      <alignment horizontal="center" vertical="center"/>
    </xf>
    <xf numFmtId="38" fontId="22" fillId="4" borderId="27" xfId="1" applyFont="1" applyFill="1" applyBorder="1" applyAlignment="1">
      <alignment horizontal="center" vertical="center"/>
    </xf>
    <xf numFmtId="177" fontId="29" fillId="0" borderId="9" xfId="1" applyNumberFormat="1" applyFont="1" applyFill="1" applyBorder="1" applyAlignment="1" applyProtection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</xf>
    <xf numFmtId="177" fontId="29" fillId="0" borderId="13" xfId="1" applyNumberFormat="1" applyFont="1" applyFill="1" applyBorder="1" applyAlignment="1" applyProtection="1">
      <alignment horizontal="center" vertical="center"/>
    </xf>
    <xf numFmtId="177" fontId="29" fillId="0" borderId="14" xfId="1" applyNumberFormat="1" applyFont="1" applyFill="1" applyBorder="1" applyAlignment="1" applyProtection="1">
      <alignment horizontal="center" vertical="center"/>
    </xf>
    <xf numFmtId="177" fontId="29" fillId="0" borderId="6" xfId="1" applyNumberFormat="1" applyFont="1" applyFill="1" applyBorder="1" applyAlignment="1" applyProtection="1">
      <alignment horizontal="center" vertical="center"/>
    </xf>
    <xf numFmtId="177" fontId="29" fillId="0" borderId="15" xfId="1" applyNumberFormat="1" applyFont="1" applyFill="1" applyBorder="1" applyAlignment="1" applyProtection="1">
      <alignment horizontal="center" vertical="center"/>
    </xf>
    <xf numFmtId="38" fontId="45" fillId="0" borderId="0" xfId="1" applyFont="1" applyFill="1" applyBorder="1" applyAlignment="1">
      <alignment horizontal="right"/>
    </xf>
    <xf numFmtId="38" fontId="45" fillId="0" borderId="0" xfId="1" applyFont="1" applyFill="1" applyAlignment="1">
      <alignment horizontal="right" vertical="center"/>
    </xf>
    <xf numFmtId="38" fontId="45" fillId="0" borderId="0" xfId="1" applyFont="1" applyFill="1" applyAlignment="1">
      <alignment horizontal="right" vertical="top"/>
    </xf>
    <xf numFmtId="178" fontId="26" fillId="0" borderId="9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 wrapText="1"/>
    </xf>
    <xf numFmtId="176" fontId="23" fillId="0" borderId="13" xfId="0" applyNumberFormat="1" applyFont="1" applyFill="1" applyBorder="1" applyAlignment="1">
      <alignment horizontal="right" vertical="center" wrapText="1"/>
    </xf>
    <xf numFmtId="176" fontId="26" fillId="0" borderId="38" xfId="0" applyNumberFormat="1" applyFont="1" applyFill="1" applyBorder="1" applyAlignment="1" applyProtection="1">
      <alignment horizontal="right" vertical="center"/>
    </xf>
    <xf numFmtId="176" fontId="26" fillId="0" borderId="39" xfId="0" applyNumberFormat="1" applyFont="1" applyFill="1" applyBorder="1" applyAlignment="1" applyProtection="1">
      <alignment horizontal="right" vertical="center"/>
    </xf>
    <xf numFmtId="176" fontId="26" fillId="0" borderId="36" xfId="0" applyNumberFormat="1" applyFont="1" applyFill="1" applyBorder="1" applyAlignment="1" applyProtection="1">
      <alignment horizontal="right" vertical="center"/>
    </xf>
    <xf numFmtId="176" fontId="26" fillId="0" borderId="37" xfId="0" applyNumberFormat="1" applyFont="1" applyFill="1" applyBorder="1" applyAlignment="1" applyProtection="1">
      <alignment horizontal="right" vertical="center"/>
    </xf>
    <xf numFmtId="176" fontId="26" fillId="10" borderId="40" xfId="0" applyNumberFormat="1" applyFont="1" applyFill="1" applyBorder="1" applyAlignment="1" applyProtection="1">
      <alignment horizontal="right" vertical="center"/>
      <protection locked="0"/>
    </xf>
    <xf numFmtId="176" fontId="26" fillId="10" borderId="41" xfId="0" applyNumberFormat="1" applyFont="1" applyFill="1" applyBorder="1" applyAlignment="1" applyProtection="1">
      <alignment horizontal="right" vertical="center"/>
      <protection locked="0"/>
    </xf>
    <xf numFmtId="176" fontId="26" fillId="10" borderId="42" xfId="0" applyNumberFormat="1" applyFont="1" applyFill="1" applyBorder="1" applyAlignment="1" applyProtection="1">
      <alignment horizontal="right" vertical="center"/>
      <protection locked="0"/>
    </xf>
    <xf numFmtId="176" fontId="26" fillId="3" borderId="36" xfId="0" applyNumberFormat="1" applyFont="1" applyFill="1" applyBorder="1" applyAlignment="1" applyProtection="1">
      <alignment horizontal="right" vertical="center"/>
    </xf>
    <xf numFmtId="176" fontId="26" fillId="3" borderId="37" xfId="0" applyNumberFormat="1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>
      <alignment horizontal="left"/>
    </xf>
    <xf numFmtId="176" fontId="26" fillId="10" borderId="33" xfId="0" applyNumberFormat="1" applyFont="1" applyFill="1" applyBorder="1" applyAlignment="1" applyProtection="1">
      <alignment horizontal="right" vertical="center"/>
      <protection locked="0"/>
    </xf>
    <xf numFmtId="176" fontId="26" fillId="10" borderId="34" xfId="0" applyNumberFormat="1" applyFont="1" applyFill="1" applyBorder="1" applyAlignment="1" applyProtection="1">
      <alignment horizontal="right" vertical="center"/>
      <protection locked="0"/>
    </xf>
    <xf numFmtId="176" fontId="26" fillId="10" borderId="35" xfId="0" applyNumberFormat="1" applyFont="1" applyFill="1" applyBorder="1" applyAlignment="1" applyProtection="1">
      <alignment horizontal="right" vertical="center"/>
      <protection locked="0"/>
    </xf>
    <xf numFmtId="176" fontId="26" fillId="10" borderId="49" xfId="0" applyNumberFormat="1" applyFont="1" applyFill="1" applyBorder="1" applyAlignment="1" applyProtection="1">
      <alignment horizontal="right" vertical="center"/>
      <protection locked="0"/>
    </xf>
    <xf numFmtId="176" fontId="26" fillId="10" borderId="39" xfId="0" applyNumberFormat="1" applyFont="1" applyFill="1" applyBorder="1" applyAlignment="1" applyProtection="1">
      <alignment horizontal="right" vertical="center"/>
      <protection locked="0"/>
    </xf>
    <xf numFmtId="176" fontId="26" fillId="10" borderId="50" xfId="0" applyNumberFormat="1" applyFont="1" applyFill="1" applyBorder="1" applyAlignment="1" applyProtection="1">
      <alignment horizontal="right" vertical="center"/>
      <protection locked="0"/>
    </xf>
    <xf numFmtId="176" fontId="26" fillId="10" borderId="31" xfId="0" applyNumberFormat="1" applyFont="1" applyFill="1" applyBorder="1" applyAlignment="1" applyProtection="1">
      <alignment horizontal="right" vertical="center"/>
      <protection locked="0"/>
    </xf>
    <xf numFmtId="176" fontId="26" fillId="10" borderId="25" xfId="0" applyNumberFormat="1" applyFont="1" applyFill="1" applyBorder="1" applyAlignment="1" applyProtection="1">
      <alignment horizontal="right" vertical="center"/>
      <protection locked="0"/>
    </xf>
    <xf numFmtId="176" fontId="26" fillId="10" borderId="32" xfId="0" applyNumberFormat="1" applyFont="1" applyFill="1" applyBorder="1" applyAlignment="1" applyProtection="1">
      <alignment horizontal="right" vertical="center"/>
      <protection locked="0"/>
    </xf>
    <xf numFmtId="176" fontId="26" fillId="3" borderId="79" xfId="0" applyNumberFormat="1" applyFont="1" applyFill="1" applyBorder="1" applyAlignment="1" applyProtection="1">
      <alignment horizontal="right" vertical="center"/>
    </xf>
    <xf numFmtId="176" fontId="26" fillId="3" borderId="80" xfId="0" applyNumberFormat="1" applyFont="1" applyFill="1" applyBorder="1" applyAlignment="1" applyProtection="1">
      <alignment horizontal="right" vertical="center"/>
    </xf>
    <xf numFmtId="176" fontId="26" fillId="3" borderId="81" xfId="0" applyNumberFormat="1" applyFont="1" applyFill="1" applyBorder="1" applyAlignment="1" applyProtection="1">
      <alignment horizontal="right" vertical="center"/>
    </xf>
    <xf numFmtId="176" fontId="26" fillId="10" borderId="56" xfId="0" applyNumberFormat="1" applyFont="1" applyFill="1" applyBorder="1" applyAlignment="1" applyProtection="1">
      <alignment horizontal="right" vertical="center"/>
      <protection locked="0"/>
    </xf>
    <xf numFmtId="0" fontId="23" fillId="4" borderId="10" xfId="0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178" fontId="74" fillId="0" borderId="4" xfId="0" applyNumberFormat="1" applyFont="1" applyFill="1" applyBorder="1" applyAlignment="1">
      <alignment horizontal="right" vertical="center"/>
    </xf>
    <xf numFmtId="178" fontId="74" fillId="0" borderId="5" xfId="0" applyNumberFormat="1" applyFont="1" applyFill="1" applyBorder="1" applyAlignment="1">
      <alignment horizontal="right" vertical="center"/>
    </xf>
    <xf numFmtId="178" fontId="77" fillId="0" borderId="4" xfId="0" applyNumberFormat="1" applyFont="1" applyFill="1" applyBorder="1" applyAlignment="1">
      <alignment horizontal="right" vertical="center"/>
    </xf>
    <xf numFmtId="178" fontId="77" fillId="0" borderId="5" xfId="0" applyNumberFormat="1" applyFont="1" applyFill="1" applyBorder="1" applyAlignment="1">
      <alignment horizontal="right" vertical="center"/>
    </xf>
    <xf numFmtId="0" fontId="36" fillId="4" borderId="0" xfId="0" applyFont="1" applyFill="1" applyBorder="1" applyAlignment="1">
      <alignment horizontal="right" vertical="center" wrapText="1"/>
    </xf>
    <xf numFmtId="0" fontId="33" fillId="4" borderId="0" xfId="0" applyFont="1" applyFill="1" applyBorder="1" applyAlignment="1">
      <alignment horizontal="left" vertical="center"/>
    </xf>
    <xf numFmtId="178" fontId="35" fillId="8" borderId="68" xfId="0" applyNumberFormat="1" applyFont="1" applyFill="1" applyBorder="1" applyAlignment="1">
      <alignment horizontal="right" vertical="center"/>
    </xf>
    <xf numFmtId="178" fontId="35" fillId="8" borderId="69" xfId="0" applyNumberFormat="1" applyFont="1" applyFill="1" applyBorder="1" applyAlignment="1">
      <alignment horizontal="right" vertical="center"/>
    </xf>
    <xf numFmtId="178" fontId="32" fillId="0" borderId="9" xfId="0" applyNumberFormat="1" applyFont="1" applyFill="1" applyBorder="1" applyAlignment="1">
      <alignment horizontal="right" vertical="center"/>
    </xf>
    <xf numFmtId="178" fontId="32" fillId="0" borderId="0" xfId="0" applyNumberFormat="1" applyFont="1" applyFill="1" applyBorder="1" applyAlignment="1">
      <alignment horizontal="right" vertical="center"/>
    </xf>
    <xf numFmtId="177" fontId="29" fillId="0" borderId="20" xfId="1" applyNumberFormat="1" applyFont="1" applyFill="1" applyBorder="1" applyAlignment="1">
      <alignment horizontal="center" vertical="center"/>
    </xf>
    <xf numFmtId="177" fontId="29" fillId="0" borderId="17" xfId="1" applyNumberFormat="1" applyFont="1" applyFill="1" applyBorder="1" applyAlignment="1">
      <alignment horizontal="center" vertical="center"/>
    </xf>
    <xf numFmtId="177" fontId="29" fillId="0" borderId="21" xfId="1" applyNumberFormat="1" applyFont="1" applyFill="1" applyBorder="1" applyAlignment="1">
      <alignment horizontal="center" vertical="center"/>
    </xf>
    <xf numFmtId="177" fontId="29" fillId="0" borderId="18" xfId="1" applyNumberFormat="1" applyFont="1" applyFill="1" applyBorder="1" applyAlignment="1">
      <alignment horizontal="center" vertical="center"/>
    </xf>
    <xf numFmtId="177" fontId="29" fillId="0" borderId="16" xfId="1" applyNumberFormat="1" applyFont="1" applyFill="1" applyBorder="1" applyAlignment="1">
      <alignment horizontal="center" vertical="center"/>
    </xf>
    <xf numFmtId="177" fontId="29" fillId="0" borderId="19" xfId="1" applyNumberFormat="1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right" vertical="center"/>
    </xf>
    <xf numFmtId="0" fontId="23" fillId="4" borderId="1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22" xfId="0" applyFont="1" applyFill="1" applyBorder="1" applyAlignment="1" applyProtection="1">
      <alignment horizontal="center" vertical="center"/>
    </xf>
    <xf numFmtId="0" fontId="23" fillId="4" borderId="84" xfId="0" applyFont="1" applyFill="1" applyBorder="1" applyAlignment="1" applyProtection="1">
      <alignment horizontal="center" vertical="center"/>
    </xf>
    <xf numFmtId="0" fontId="23" fillId="4" borderId="66" xfId="0" applyFont="1" applyFill="1" applyBorder="1" applyAlignment="1" applyProtection="1">
      <alignment horizontal="center" vertical="center"/>
    </xf>
    <xf numFmtId="0" fontId="23" fillId="4" borderId="66" xfId="0" applyFont="1" applyFill="1" applyBorder="1" applyAlignment="1" applyProtection="1">
      <alignment horizontal="center" vertical="center" wrapText="1"/>
    </xf>
    <xf numFmtId="176" fontId="41" fillId="4" borderId="9" xfId="0" applyNumberFormat="1" applyFont="1" applyFill="1" applyBorder="1" applyAlignment="1">
      <alignment horizontal="center" vertical="center" wrapText="1"/>
    </xf>
    <xf numFmtId="176" fontId="41" fillId="4" borderId="0" xfId="0" applyNumberFormat="1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78" fillId="12" borderId="65" xfId="0" applyNumberFormat="1" applyFont="1" applyFill="1" applyBorder="1" applyAlignment="1" applyProtection="1">
      <alignment horizontal="center" vertical="center"/>
    </xf>
    <xf numFmtId="0" fontId="78" fillId="12" borderId="59" xfId="0" applyNumberFormat="1" applyFont="1" applyFill="1" applyBorder="1" applyAlignment="1" applyProtection="1">
      <alignment horizontal="center" vertical="center"/>
    </xf>
    <xf numFmtId="0" fontId="27" fillId="9" borderId="46" xfId="0" applyNumberFormat="1" applyFont="1" applyFill="1" applyBorder="1" applyAlignment="1" applyProtection="1">
      <alignment horizontal="center" vertical="center"/>
    </xf>
    <xf numFmtId="0" fontId="27" fillId="9" borderId="48" xfId="0" applyNumberFormat="1" applyFont="1" applyFill="1" applyBorder="1" applyAlignment="1" applyProtection="1">
      <alignment horizontal="center" vertical="center"/>
    </xf>
    <xf numFmtId="0" fontId="22" fillId="0" borderId="85" xfId="0" applyNumberFormat="1" applyFont="1" applyFill="1" applyBorder="1" applyAlignment="1" applyProtection="1">
      <alignment horizontal="center" vertical="center"/>
    </xf>
    <xf numFmtId="0" fontId="22" fillId="0" borderId="86" xfId="0" applyNumberFormat="1" applyFont="1" applyFill="1" applyBorder="1" applyAlignment="1" applyProtection="1">
      <alignment horizontal="center" vertical="center"/>
    </xf>
    <xf numFmtId="176" fontId="26" fillId="0" borderId="87" xfId="0" applyNumberFormat="1" applyFont="1" applyFill="1" applyBorder="1" applyAlignment="1" applyProtection="1">
      <alignment horizontal="right" vertical="center"/>
    </xf>
    <xf numFmtId="176" fontId="26" fillId="0" borderId="88" xfId="0" applyNumberFormat="1" applyFont="1" applyFill="1" applyBorder="1" applyAlignment="1" applyProtection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22" fillId="0" borderId="0" xfId="0" applyFont="1" applyAlignment="1" applyProtection="1">
      <alignment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13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horizontal="left"/>
    </xf>
    <xf numFmtId="0" fontId="61" fillId="0" borderId="0" xfId="0" applyFont="1" applyFill="1" applyProtection="1"/>
    <xf numFmtId="0" fontId="61" fillId="0" borderId="0" xfId="0" applyFont="1" applyFill="1" applyAlignment="1" applyProtection="1">
      <alignment vertical="center"/>
    </xf>
    <xf numFmtId="0" fontId="61" fillId="0" borderId="0" xfId="0" applyFont="1" applyAlignment="1" applyProtection="1">
      <alignment vertical="center"/>
    </xf>
    <xf numFmtId="0" fontId="59" fillId="0" borderId="0" xfId="0" applyFont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22" fillId="11" borderId="65" xfId="0" applyFont="1" applyFill="1" applyBorder="1" applyAlignment="1" applyProtection="1">
      <alignment horizontal="center" vertical="center"/>
    </xf>
    <xf numFmtId="0" fontId="22" fillId="11" borderId="58" xfId="0" applyFont="1" applyFill="1" applyBorder="1" applyAlignment="1" applyProtection="1">
      <alignment horizontal="center" vertical="center"/>
    </xf>
    <xf numFmtId="0" fontId="22" fillId="11" borderId="59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2" fillId="0" borderId="0" xfId="0" applyFont="1" applyFill="1" applyProtection="1"/>
    <xf numFmtId="38" fontId="61" fillId="0" borderId="0" xfId="1" applyFont="1" applyFill="1" applyAlignment="1" applyProtection="1">
      <alignment vertical="center"/>
    </xf>
    <xf numFmtId="0" fontId="49" fillId="0" borderId="0" xfId="0" applyFont="1" applyFill="1" applyAlignment="1" applyProtection="1">
      <alignment vertical="center"/>
    </xf>
    <xf numFmtId="176" fontId="41" fillId="4" borderId="9" xfId="0" applyNumberFormat="1" applyFont="1" applyFill="1" applyBorder="1" applyAlignment="1" applyProtection="1">
      <alignment horizontal="center" vertical="center" wrapText="1"/>
    </xf>
    <xf numFmtId="176" fontId="41" fillId="4" borderId="0" xfId="0" applyNumberFormat="1" applyFont="1" applyFill="1" applyBorder="1" applyAlignment="1" applyProtection="1">
      <alignment horizontal="center" vertical="center" wrapText="1"/>
    </xf>
    <xf numFmtId="176" fontId="23" fillId="0" borderId="0" xfId="0" applyNumberFormat="1" applyFont="1" applyFill="1" applyBorder="1" applyAlignment="1" applyProtection="1">
      <alignment horizontal="right" vertical="center" wrapText="1"/>
    </xf>
    <xf numFmtId="176" fontId="23" fillId="0" borderId="13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Fill="1" applyBorder="1" applyAlignment="1" applyProtection="1"/>
    <xf numFmtId="0" fontId="51" fillId="0" borderId="0" xfId="0" applyFont="1" applyFill="1" applyAlignment="1" applyProtection="1">
      <alignment vertical="center"/>
    </xf>
    <xf numFmtId="0" fontId="62" fillId="0" borderId="0" xfId="0" applyFont="1" applyFill="1" applyAlignment="1" applyProtection="1">
      <alignment vertical="center" wrapText="1"/>
    </xf>
    <xf numFmtId="0" fontId="52" fillId="0" borderId="0" xfId="0" applyNumberFormat="1" applyFont="1" applyFill="1" applyAlignment="1" applyProtection="1">
      <alignment horizontal="center" vertical="center" shrinkToFit="1"/>
    </xf>
    <xf numFmtId="0" fontId="29" fillId="12" borderId="46" xfId="0" applyNumberFormat="1" applyFont="1" applyFill="1" applyBorder="1" applyAlignment="1" applyProtection="1">
      <alignment horizontal="center" vertical="center"/>
    </xf>
    <xf numFmtId="176" fontId="26" fillId="10" borderId="28" xfId="0" applyNumberFormat="1" applyFont="1" applyFill="1" applyBorder="1" applyAlignment="1" applyProtection="1">
      <alignment horizontal="right" vertical="center"/>
    </xf>
    <xf numFmtId="176" fontId="26" fillId="10" borderId="29" xfId="0" applyNumberFormat="1" applyFont="1" applyFill="1" applyBorder="1" applyAlignment="1" applyProtection="1">
      <alignment horizontal="right" vertical="center"/>
    </xf>
    <xf numFmtId="176" fontId="26" fillId="10" borderId="30" xfId="0" applyNumberFormat="1" applyFont="1" applyFill="1" applyBorder="1" applyAlignment="1" applyProtection="1">
      <alignment horizontal="right" vertical="center"/>
    </xf>
    <xf numFmtId="176" fontId="26" fillId="0" borderId="23" xfId="0" quotePrefix="1" applyNumberFormat="1" applyFont="1" applyFill="1" applyBorder="1" applyAlignment="1" applyProtection="1">
      <alignment horizontal="right" vertical="center"/>
    </xf>
    <xf numFmtId="176" fontId="26" fillId="0" borderId="75" xfId="0" quotePrefix="1" applyNumberFormat="1" applyFont="1" applyFill="1" applyBorder="1" applyAlignment="1" applyProtection="1">
      <alignment horizontal="right" vertical="center"/>
    </xf>
    <xf numFmtId="0" fontId="23" fillId="13" borderId="70" xfId="0" applyFont="1" applyFill="1" applyBorder="1" applyAlignment="1" applyProtection="1">
      <alignment horizontal="center" vertical="center"/>
    </xf>
    <xf numFmtId="0" fontId="23" fillId="13" borderId="60" xfId="0" applyFont="1" applyFill="1" applyBorder="1" applyAlignment="1" applyProtection="1">
      <alignment horizontal="center" vertical="center"/>
    </xf>
    <xf numFmtId="0" fontId="23" fillId="0" borderId="0" xfId="0" applyFont="1" applyFill="1" applyProtection="1"/>
    <xf numFmtId="0" fontId="23" fillId="0" borderId="0" xfId="0" applyFont="1" applyFill="1" applyAlignment="1" applyProtection="1">
      <alignment vertical="center"/>
    </xf>
    <xf numFmtId="0" fontId="41" fillId="0" borderId="0" xfId="0" applyFont="1" applyFill="1" applyAlignment="1" applyProtection="1"/>
    <xf numFmtId="0" fontId="63" fillId="0" borderId="0" xfId="0" applyFont="1" applyAlignment="1" applyProtection="1">
      <alignment vertical="center"/>
    </xf>
    <xf numFmtId="0" fontId="29" fillId="12" borderId="47" xfId="0" applyNumberFormat="1" applyFont="1" applyFill="1" applyBorder="1" applyAlignment="1" applyProtection="1">
      <alignment horizontal="center" vertical="center"/>
    </xf>
    <xf numFmtId="176" fontId="26" fillId="10" borderId="33" xfId="0" applyNumberFormat="1" applyFont="1" applyFill="1" applyBorder="1" applyAlignment="1" applyProtection="1">
      <alignment horizontal="right" vertical="center"/>
    </xf>
    <xf numFmtId="176" fontId="26" fillId="10" borderId="34" xfId="0" applyNumberFormat="1" applyFont="1" applyFill="1" applyBorder="1" applyAlignment="1" applyProtection="1">
      <alignment horizontal="right" vertical="center"/>
    </xf>
    <xf numFmtId="176" fontId="26" fillId="10" borderId="35" xfId="0" applyNumberFormat="1" applyFont="1" applyFill="1" applyBorder="1" applyAlignment="1" applyProtection="1">
      <alignment horizontal="right" vertical="center"/>
    </xf>
    <xf numFmtId="176" fontId="26" fillId="0" borderId="1" xfId="0" quotePrefix="1" applyNumberFormat="1" applyFont="1" applyFill="1" applyBorder="1" applyAlignment="1" applyProtection="1">
      <alignment horizontal="right" vertical="center"/>
    </xf>
    <xf numFmtId="176" fontId="26" fillId="0" borderId="64" xfId="0" quotePrefix="1" applyNumberFormat="1" applyFont="1" applyFill="1" applyBorder="1" applyAlignment="1" applyProtection="1">
      <alignment horizontal="right" vertical="center"/>
    </xf>
    <xf numFmtId="0" fontId="23" fillId="13" borderId="67" xfId="0" applyFont="1" applyFill="1" applyBorder="1" applyAlignment="1" applyProtection="1">
      <alignment horizontal="center" vertical="center"/>
    </xf>
    <xf numFmtId="0" fontId="23" fillId="13" borderId="71" xfId="0" applyFont="1" applyFill="1" applyBorder="1" applyAlignment="1" applyProtection="1">
      <alignment horizontal="center" vertical="center"/>
    </xf>
    <xf numFmtId="176" fontId="28" fillId="0" borderId="45" xfId="0" applyNumberFormat="1" applyFont="1" applyFill="1" applyBorder="1" applyAlignment="1" applyProtection="1">
      <alignment horizontal="center" vertical="center"/>
    </xf>
    <xf numFmtId="176" fontId="26" fillId="10" borderId="40" xfId="0" applyNumberFormat="1" applyFont="1" applyFill="1" applyBorder="1" applyAlignment="1" applyProtection="1">
      <alignment horizontal="right" vertical="center"/>
    </xf>
    <xf numFmtId="176" fontId="26" fillId="10" borderId="41" xfId="0" applyNumberFormat="1" applyFont="1" applyFill="1" applyBorder="1" applyAlignment="1" applyProtection="1">
      <alignment horizontal="right" vertical="center"/>
    </xf>
    <xf numFmtId="176" fontId="26" fillId="10" borderId="42" xfId="0" applyNumberFormat="1" applyFont="1" applyFill="1" applyBorder="1" applyAlignment="1" applyProtection="1">
      <alignment horizontal="right" vertical="center"/>
    </xf>
    <xf numFmtId="176" fontId="26" fillId="0" borderId="82" xfId="0" quotePrefix="1" applyNumberFormat="1" applyFont="1" applyFill="1" applyBorder="1" applyAlignment="1" applyProtection="1">
      <alignment horizontal="right" vertical="center"/>
    </xf>
    <xf numFmtId="176" fontId="26" fillId="0" borderId="22" xfId="0" quotePrefix="1" applyNumberFormat="1" applyFont="1" applyFill="1" applyBorder="1" applyAlignment="1" applyProtection="1">
      <alignment horizontal="right" vertical="center"/>
    </xf>
    <xf numFmtId="176" fontId="26" fillId="0" borderId="83" xfId="0" quotePrefix="1" applyNumberFormat="1" applyFont="1" applyFill="1" applyBorder="1" applyAlignment="1" applyProtection="1">
      <alignment horizontal="right" vertical="center"/>
    </xf>
    <xf numFmtId="0" fontId="23" fillId="13" borderId="72" xfId="0" applyFont="1" applyFill="1" applyBorder="1" applyAlignment="1" applyProtection="1">
      <alignment horizontal="center" vertical="center"/>
    </xf>
    <xf numFmtId="0" fontId="23" fillId="13" borderId="62" xfId="0" applyFont="1" applyFill="1" applyBorder="1" applyAlignment="1" applyProtection="1">
      <alignment horizontal="center" vertical="center"/>
    </xf>
    <xf numFmtId="176" fontId="26" fillId="3" borderId="66" xfId="0" quotePrefix="1" applyNumberFormat="1" applyFont="1" applyFill="1" applyBorder="1" applyAlignment="1" applyProtection="1">
      <alignment horizontal="right" vertical="center"/>
    </xf>
    <xf numFmtId="176" fontId="26" fillId="3" borderId="1" xfId="0" quotePrefix="1" applyNumberFormat="1" applyFont="1" applyFill="1" applyBorder="1" applyAlignment="1" applyProtection="1">
      <alignment horizontal="right" vertical="center"/>
    </xf>
    <xf numFmtId="176" fontId="28" fillId="3" borderId="77" xfId="0" applyNumberFormat="1" applyFont="1" applyFill="1" applyBorder="1" applyAlignment="1" applyProtection="1">
      <alignment horizontal="center" vertical="center"/>
    </xf>
    <xf numFmtId="176" fontId="26" fillId="3" borderId="12" xfId="0" quotePrefix="1" applyNumberFormat="1" applyFont="1" applyFill="1" applyBorder="1" applyAlignment="1" applyProtection="1">
      <alignment horizontal="right" vertical="center"/>
    </xf>
    <xf numFmtId="176" fontId="26" fillId="3" borderId="7" xfId="0" quotePrefix="1" applyNumberFormat="1" applyFont="1" applyFill="1" applyBorder="1" applyAlignment="1" applyProtection="1">
      <alignment horizontal="right" vertical="center"/>
    </xf>
    <xf numFmtId="38" fontId="61" fillId="0" borderId="0" xfId="1" applyFont="1" applyFill="1" applyAlignment="1" applyProtection="1">
      <alignment shrinkToFit="1"/>
    </xf>
    <xf numFmtId="176" fontId="26" fillId="10" borderId="49" xfId="0" applyNumberFormat="1" applyFont="1" applyFill="1" applyBorder="1" applyAlignment="1" applyProtection="1">
      <alignment horizontal="right" vertical="center"/>
    </xf>
    <xf numFmtId="176" fontId="26" fillId="10" borderId="39" xfId="0" applyNumberFormat="1" applyFont="1" applyFill="1" applyBorder="1" applyAlignment="1" applyProtection="1">
      <alignment horizontal="right" vertical="center"/>
    </xf>
    <xf numFmtId="176" fontId="26" fillId="10" borderId="5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38" fontId="61" fillId="0" borderId="0" xfId="1" applyFont="1" applyFill="1" applyAlignment="1" applyProtection="1">
      <alignment vertical="center" shrinkToFit="1"/>
    </xf>
    <xf numFmtId="176" fontId="26" fillId="10" borderId="31" xfId="0" applyNumberFormat="1" applyFont="1" applyFill="1" applyBorder="1" applyAlignment="1" applyProtection="1">
      <alignment horizontal="right" vertical="center"/>
    </xf>
    <xf numFmtId="176" fontId="26" fillId="10" borderId="25" xfId="0" applyNumberFormat="1" applyFont="1" applyFill="1" applyBorder="1" applyAlignment="1" applyProtection="1">
      <alignment horizontal="right" vertical="center"/>
    </xf>
    <xf numFmtId="176" fontId="26" fillId="10" borderId="32" xfId="0" applyNumberFormat="1" applyFont="1" applyFill="1" applyBorder="1" applyAlignment="1" applyProtection="1">
      <alignment horizontal="right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4" borderId="11" xfId="0" applyFont="1" applyFill="1" applyBorder="1" applyAlignment="1" applyProtection="1">
      <alignment horizontal="center" vertical="center"/>
    </xf>
    <xf numFmtId="0" fontId="23" fillId="4" borderId="12" xfId="0" applyFont="1" applyFill="1" applyBorder="1" applyAlignment="1" applyProtection="1">
      <alignment horizontal="center" vertical="center"/>
    </xf>
    <xf numFmtId="38" fontId="61" fillId="0" borderId="0" xfId="1" applyFont="1" applyFill="1" applyProtection="1"/>
    <xf numFmtId="176" fontId="28" fillId="0" borderId="77" xfId="0" applyNumberFormat="1" applyFont="1" applyFill="1" applyBorder="1" applyAlignment="1" applyProtection="1">
      <alignment horizontal="center" vertical="center"/>
    </xf>
    <xf numFmtId="176" fontId="26" fillId="0" borderId="12" xfId="0" quotePrefix="1" applyNumberFormat="1" applyFont="1" applyFill="1" applyBorder="1" applyAlignment="1" applyProtection="1">
      <alignment horizontal="right" vertical="center"/>
    </xf>
    <xf numFmtId="176" fontId="26" fillId="0" borderId="7" xfId="0" quotePrefix="1" applyNumberFormat="1" applyFont="1" applyFill="1" applyBorder="1" applyAlignment="1" applyProtection="1">
      <alignment horizontal="right" vertical="center"/>
    </xf>
    <xf numFmtId="176" fontId="26" fillId="0" borderId="61" xfId="0" quotePrefix="1" applyNumberFormat="1" applyFont="1" applyFill="1" applyBorder="1" applyAlignment="1" applyProtection="1">
      <alignment horizontal="right" vertical="center"/>
    </xf>
    <xf numFmtId="0" fontId="23" fillId="4" borderId="14" xfId="0" applyFont="1" applyFill="1" applyBorder="1" applyAlignment="1" applyProtection="1">
      <alignment horizontal="center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15" xfId="0" applyFont="1" applyFill="1" applyBorder="1" applyAlignment="1" applyProtection="1">
      <alignment horizontal="center" vertical="center"/>
    </xf>
    <xf numFmtId="176" fontId="26" fillId="3" borderId="23" xfId="0" quotePrefix="1" applyNumberFormat="1" applyFont="1" applyFill="1" applyBorder="1" applyAlignment="1" applyProtection="1">
      <alignment horizontal="right" vertical="center"/>
    </xf>
    <xf numFmtId="176" fontId="26" fillId="3" borderId="75" xfId="0" quotePrefix="1" applyNumberFormat="1" applyFont="1" applyFill="1" applyBorder="1" applyAlignment="1" applyProtection="1">
      <alignment horizontal="right" vertical="center"/>
    </xf>
    <xf numFmtId="176" fontId="26" fillId="3" borderId="64" xfId="0" quotePrefix="1" applyNumberFormat="1" applyFont="1" applyFill="1" applyBorder="1" applyAlignment="1" applyProtection="1">
      <alignment horizontal="right" vertical="center"/>
    </xf>
    <xf numFmtId="176" fontId="26" fillId="3" borderId="82" xfId="0" quotePrefix="1" applyNumberFormat="1" applyFont="1" applyFill="1" applyBorder="1" applyAlignment="1" applyProtection="1">
      <alignment horizontal="right" vertical="center"/>
    </xf>
    <xf numFmtId="176" fontId="26" fillId="3" borderId="22" xfId="0" quotePrefix="1" applyNumberFormat="1" applyFont="1" applyFill="1" applyBorder="1" applyAlignment="1" applyProtection="1">
      <alignment horizontal="right" vertical="center"/>
    </xf>
    <xf numFmtId="176" fontId="26" fillId="3" borderId="83" xfId="0" quotePrefix="1" applyNumberFormat="1" applyFont="1" applyFill="1" applyBorder="1" applyAlignment="1" applyProtection="1">
      <alignment horizontal="right" vertical="center"/>
    </xf>
    <xf numFmtId="0" fontId="4" fillId="0" borderId="0" xfId="0" applyFont="1" applyFill="1" applyProtection="1"/>
    <xf numFmtId="176" fontId="26" fillId="10" borderId="51" xfId="0" applyNumberFormat="1" applyFont="1" applyFill="1" applyBorder="1" applyAlignment="1" applyProtection="1">
      <alignment horizontal="right" vertical="center"/>
    </xf>
    <xf numFmtId="176" fontId="26" fillId="10" borderId="8" xfId="0" applyNumberFormat="1" applyFont="1" applyFill="1" applyBorder="1" applyAlignment="1" applyProtection="1">
      <alignment horizontal="right" vertical="center"/>
    </xf>
    <xf numFmtId="176" fontId="26" fillId="10" borderId="52" xfId="0" applyNumberFormat="1" applyFont="1" applyFill="1" applyBorder="1" applyAlignment="1" applyProtection="1">
      <alignment horizontal="right" vertical="center"/>
    </xf>
    <xf numFmtId="176" fontId="26" fillId="10" borderId="53" xfId="0" applyNumberFormat="1" applyFont="1" applyFill="1" applyBorder="1" applyAlignment="1" applyProtection="1">
      <alignment horizontal="right" vertical="center"/>
    </xf>
    <xf numFmtId="176" fontId="26" fillId="10" borderId="54" xfId="0" applyNumberFormat="1" applyFont="1" applyFill="1" applyBorder="1" applyAlignment="1" applyProtection="1">
      <alignment horizontal="right" vertical="center"/>
    </xf>
    <xf numFmtId="176" fontId="26" fillId="10" borderId="55" xfId="0" applyNumberFormat="1" applyFont="1" applyFill="1" applyBorder="1" applyAlignment="1" applyProtection="1">
      <alignment horizontal="right" vertical="center"/>
    </xf>
    <xf numFmtId="0" fontId="23" fillId="4" borderId="10" xfId="0" applyFont="1" applyFill="1" applyBorder="1" applyAlignment="1" applyProtection="1">
      <alignment horizontal="center" vertical="center" wrapText="1"/>
    </xf>
    <xf numFmtId="0" fontId="23" fillId="4" borderId="11" xfId="0" applyFont="1" applyFill="1" applyBorder="1" applyAlignment="1" applyProtection="1">
      <alignment horizontal="center" vertical="center" wrapText="1"/>
    </xf>
    <xf numFmtId="0" fontId="23" fillId="4" borderId="12" xfId="0" applyFont="1" applyFill="1" applyBorder="1" applyAlignment="1" applyProtection="1">
      <alignment horizontal="center" vertical="center" wrapText="1"/>
    </xf>
    <xf numFmtId="176" fontId="28" fillId="0" borderId="73" xfId="0" applyNumberFormat="1" applyFont="1" applyFill="1" applyBorder="1" applyAlignment="1" applyProtection="1">
      <alignment horizontal="center" vertical="center"/>
    </xf>
    <xf numFmtId="0" fontId="23" fillId="4" borderId="14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4" borderId="15" xfId="0" applyFont="1" applyFill="1" applyBorder="1" applyAlignment="1" applyProtection="1">
      <alignment horizontal="center" vertical="center" wrapText="1"/>
    </xf>
    <xf numFmtId="0" fontId="52" fillId="0" borderId="0" xfId="1" applyNumberFormat="1" applyFont="1" applyFill="1" applyAlignment="1" applyProtection="1">
      <alignment horizontal="center" vertical="center" shrinkToFit="1"/>
    </xf>
    <xf numFmtId="176" fontId="26" fillId="10" borderId="28" xfId="1" applyNumberFormat="1" applyFont="1" applyFill="1" applyBorder="1" applyAlignment="1" applyProtection="1">
      <alignment horizontal="right" vertical="center"/>
    </xf>
    <xf numFmtId="176" fontId="26" fillId="10" borderId="29" xfId="1" applyNumberFormat="1" applyFont="1" applyFill="1" applyBorder="1" applyAlignment="1" applyProtection="1">
      <alignment horizontal="right" vertical="center"/>
    </xf>
    <xf numFmtId="176" fontId="26" fillId="10" borderId="30" xfId="1" applyNumberFormat="1" applyFont="1" applyFill="1" applyBorder="1" applyAlignment="1" applyProtection="1">
      <alignment horizontal="right" vertical="center"/>
    </xf>
    <xf numFmtId="38" fontId="4" fillId="0" borderId="0" xfId="1" applyFont="1" applyAlignment="1" applyProtection="1">
      <alignment vertical="center"/>
    </xf>
    <xf numFmtId="177" fontId="29" fillId="0" borderId="20" xfId="1" applyNumberFormat="1" applyFont="1" applyFill="1" applyBorder="1" applyAlignment="1" applyProtection="1">
      <alignment horizontal="center" vertical="center"/>
    </xf>
    <xf numFmtId="177" fontId="29" fillId="0" borderId="17" xfId="1" applyNumberFormat="1" applyFont="1" applyFill="1" applyBorder="1" applyAlignment="1" applyProtection="1">
      <alignment horizontal="center" vertical="center"/>
    </xf>
    <xf numFmtId="177" fontId="29" fillId="0" borderId="21" xfId="1" applyNumberFormat="1" applyFont="1" applyFill="1" applyBorder="1" applyAlignment="1" applyProtection="1">
      <alignment horizontal="center" vertical="center"/>
    </xf>
    <xf numFmtId="38" fontId="4" fillId="0" borderId="0" xfId="1" applyFont="1" applyFill="1" applyAlignment="1" applyProtection="1">
      <alignment vertical="center"/>
    </xf>
    <xf numFmtId="38" fontId="61" fillId="0" borderId="0" xfId="1" applyFont="1" applyAlignment="1" applyProtection="1">
      <alignment vertical="center"/>
    </xf>
    <xf numFmtId="38" fontId="59" fillId="0" borderId="0" xfId="1" applyFont="1" applyAlignment="1" applyProtection="1">
      <alignment vertical="center"/>
    </xf>
    <xf numFmtId="177" fontId="29" fillId="0" borderId="18" xfId="1" applyNumberFormat="1" applyFont="1" applyFill="1" applyBorder="1" applyAlignment="1" applyProtection="1">
      <alignment horizontal="center" vertical="center"/>
    </xf>
    <xf numFmtId="177" fontId="29" fillId="0" borderId="16" xfId="1" applyNumberFormat="1" applyFont="1" applyFill="1" applyBorder="1" applyAlignment="1" applyProtection="1">
      <alignment horizontal="center" vertical="center"/>
    </xf>
    <xf numFmtId="177" fontId="29" fillId="0" borderId="19" xfId="1" applyNumberFormat="1" applyFont="1" applyFill="1" applyBorder="1" applyAlignment="1" applyProtection="1">
      <alignment horizontal="center" vertical="center"/>
    </xf>
    <xf numFmtId="176" fontId="26" fillId="10" borderId="56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0" fontId="42" fillId="0" borderId="0" xfId="0" applyFont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38" fontId="45" fillId="0" borderId="0" xfId="1" applyFont="1" applyFill="1" applyBorder="1" applyAlignment="1" applyProtection="1">
      <alignment horizontal="right"/>
    </xf>
    <xf numFmtId="38" fontId="22" fillId="4" borderId="26" xfId="1" applyFont="1" applyFill="1" applyBorder="1" applyAlignment="1" applyProtection="1">
      <alignment horizontal="center" vertical="center"/>
    </xf>
    <xf numFmtId="38" fontId="22" fillId="4" borderId="24" xfId="1" applyFont="1" applyFill="1" applyBorder="1" applyAlignment="1" applyProtection="1">
      <alignment horizontal="center" vertical="center"/>
    </xf>
    <xf numFmtId="38" fontId="22" fillId="4" borderId="27" xfId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5" fillId="0" borderId="0" xfId="0" applyFont="1" applyFill="1" applyAlignment="1" applyProtection="1">
      <alignment horizontal="right" vertical="center"/>
    </xf>
    <xf numFmtId="38" fontId="45" fillId="0" borderId="0" xfId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0" fontId="43" fillId="0" borderId="0" xfId="0" applyFont="1" applyFill="1" applyBorder="1" applyAlignment="1" applyProtection="1">
      <alignment horizontal="left" vertical="center"/>
    </xf>
    <xf numFmtId="0" fontId="45" fillId="0" borderId="0" xfId="0" applyFont="1" applyFill="1" applyBorder="1" applyAlignment="1" applyProtection="1">
      <alignment horizontal="right" vertical="top"/>
    </xf>
    <xf numFmtId="38" fontId="45" fillId="0" borderId="0" xfId="1" applyFont="1" applyFill="1" applyAlignment="1" applyProtection="1">
      <alignment horizontal="right" vertical="top"/>
    </xf>
    <xf numFmtId="0" fontId="58" fillId="0" borderId="0" xfId="0" applyFont="1" applyFill="1" applyAlignment="1" applyProtection="1">
      <alignment vertical="center"/>
    </xf>
    <xf numFmtId="0" fontId="59" fillId="0" borderId="0" xfId="0" applyFont="1" applyFill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38" fillId="0" borderId="0" xfId="0" applyFont="1" applyFill="1" applyAlignment="1" applyProtection="1">
      <alignment vertical="center"/>
    </xf>
    <xf numFmtId="0" fontId="3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176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42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44" fillId="0" borderId="0" xfId="0" applyFont="1" applyFill="1" applyProtection="1"/>
    <xf numFmtId="0" fontId="44" fillId="0" borderId="0" xfId="0" applyFont="1" applyFill="1" applyAlignment="1" applyProtection="1">
      <alignment vertical="center"/>
    </xf>
    <xf numFmtId="0" fontId="64" fillId="0" borderId="0" xfId="0" applyFont="1" applyFill="1" applyAlignment="1" applyProtection="1">
      <alignment horizontal="center" vertical="center"/>
    </xf>
    <xf numFmtId="0" fontId="64" fillId="0" borderId="0" xfId="0" applyFont="1" applyFill="1" applyAlignment="1" applyProtection="1">
      <alignment vertical="center"/>
    </xf>
    <xf numFmtId="0" fontId="64" fillId="0" borderId="0" xfId="0" applyFont="1" applyFill="1" applyProtection="1"/>
    <xf numFmtId="0" fontId="13" fillId="0" borderId="0" xfId="0" applyFont="1" applyAlignment="1" applyProtection="1">
      <alignment vertical="center"/>
    </xf>
    <xf numFmtId="0" fontId="64" fillId="0" borderId="0" xfId="0" applyFont="1" applyAlignment="1" applyProtection="1">
      <alignment vertical="center"/>
    </xf>
    <xf numFmtId="0" fontId="60" fillId="0" borderId="0" xfId="0" applyFont="1" applyAlignment="1" applyProtection="1">
      <alignment vertical="center"/>
    </xf>
    <xf numFmtId="0" fontId="44" fillId="0" borderId="0" xfId="0" applyFont="1" applyFill="1" applyBorder="1" applyProtection="1"/>
    <xf numFmtId="0" fontId="44" fillId="0" borderId="0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2" fillId="0" borderId="0" xfId="0" applyFont="1" applyFill="1" applyProtection="1"/>
    <xf numFmtId="0" fontId="20" fillId="0" borderId="0" xfId="0" applyFont="1" applyFill="1" applyAlignment="1" applyProtection="1">
      <alignment vertical="center"/>
    </xf>
    <xf numFmtId="0" fontId="22" fillId="4" borderId="10" xfId="0" applyFont="1" applyFill="1" applyBorder="1" applyAlignment="1" applyProtection="1">
      <alignment vertical="center"/>
    </xf>
    <xf numFmtId="0" fontId="23" fillId="4" borderId="11" xfId="0" applyFont="1" applyFill="1" applyBorder="1" applyAlignment="1" applyProtection="1">
      <alignment vertical="center"/>
    </xf>
    <xf numFmtId="0" fontId="23" fillId="4" borderId="12" xfId="0" applyFont="1" applyFill="1" applyBorder="1" applyAlignment="1" applyProtection="1">
      <alignment vertical="center"/>
    </xf>
    <xf numFmtId="0" fontId="22" fillId="4" borderId="14" xfId="0" applyFont="1" applyFill="1" applyBorder="1" applyAlignment="1" applyProtection="1">
      <alignment horizontal="left" vertical="center" indent="1"/>
    </xf>
    <xf numFmtId="0" fontId="23" fillId="4" borderId="6" xfId="0" applyFont="1" applyFill="1" applyBorder="1" applyAlignment="1" applyProtection="1">
      <alignment vertical="center"/>
    </xf>
    <xf numFmtId="0" fontId="23" fillId="4" borderId="15" xfId="0" applyFont="1" applyFill="1" applyBorder="1" applyAlignment="1" applyProtection="1">
      <alignment vertical="center"/>
    </xf>
    <xf numFmtId="0" fontId="23" fillId="4" borderId="14" xfId="0" applyFont="1" applyFill="1" applyBorder="1" applyAlignment="1" applyProtection="1">
      <alignment horizontal="left" vertical="center" indent="1"/>
    </xf>
    <xf numFmtId="0" fontId="30" fillId="0" borderId="9" xfId="0" applyFont="1" applyFill="1" applyBorder="1" applyAlignment="1" applyProtection="1">
      <alignment horizontal="left" vertical="center" indent="1"/>
    </xf>
    <xf numFmtId="0" fontId="28" fillId="0" borderId="0" xfId="0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28" fillId="0" borderId="9" xfId="0" applyFont="1" applyFill="1" applyBorder="1" applyAlignment="1" applyProtection="1">
      <alignment vertical="center"/>
    </xf>
    <xf numFmtId="178" fontId="26" fillId="0" borderId="9" xfId="0" applyNumberFormat="1" applyFont="1" applyFill="1" applyBorder="1" applyAlignment="1" applyProtection="1">
      <alignment horizontal="right" vertical="center"/>
    </xf>
    <xf numFmtId="178" fontId="26" fillId="0" borderId="0" xfId="0" applyNumberFormat="1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28" fillId="0" borderId="9" xfId="0" applyFont="1" applyFill="1" applyBorder="1" applyAlignment="1" applyProtection="1">
      <alignment horizontal="right" vertical="center"/>
    </xf>
    <xf numFmtId="178" fontId="26" fillId="0" borderId="6" xfId="0" applyNumberFormat="1" applyFont="1" applyFill="1" applyBorder="1" applyAlignment="1" applyProtection="1">
      <alignment horizontal="right" vertical="center"/>
    </xf>
    <xf numFmtId="0" fontId="28" fillId="0" borderId="9" xfId="0" applyFont="1" applyFill="1" applyBorder="1" applyAlignment="1" applyProtection="1">
      <alignment horizontal="center" vertical="center"/>
    </xf>
    <xf numFmtId="178" fontId="31" fillId="0" borderId="0" xfId="0" applyNumberFormat="1" applyFont="1" applyFill="1" applyBorder="1" applyAlignment="1" applyProtection="1">
      <alignment horizontal="right" vertical="center"/>
    </xf>
    <xf numFmtId="0" fontId="5" fillId="0" borderId="9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28" fillId="0" borderId="9" xfId="0" applyFont="1" applyFill="1" applyBorder="1" applyAlignment="1" applyProtection="1">
      <alignment horizontal="left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0" fontId="28" fillId="0" borderId="13" xfId="0" applyFont="1" applyFill="1" applyBorder="1" applyAlignment="1" applyProtection="1">
      <alignment horizontal="left" vertical="center"/>
    </xf>
    <xf numFmtId="0" fontId="32" fillId="0" borderId="9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vertical="center"/>
    </xf>
    <xf numFmtId="178" fontId="32" fillId="0" borderId="9" xfId="0" applyNumberFormat="1" applyFont="1" applyFill="1" applyBorder="1" applyAlignment="1" applyProtection="1">
      <alignment horizontal="right" vertical="center"/>
    </xf>
    <xf numFmtId="178" fontId="32" fillId="0" borderId="0" xfId="0" applyNumberFormat="1" applyFont="1" applyFill="1" applyBorder="1" applyAlignment="1" applyProtection="1">
      <alignment horizontal="right" vertical="center"/>
    </xf>
    <xf numFmtId="178" fontId="28" fillId="0" borderId="0" xfId="0" applyNumberFormat="1" applyFont="1" applyFill="1" applyBorder="1" applyAlignment="1" applyProtection="1">
      <alignment horizontal="center" vertical="center"/>
    </xf>
    <xf numFmtId="0" fontId="28" fillId="0" borderId="13" xfId="1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178" fontId="28" fillId="0" borderId="9" xfId="0" applyNumberFormat="1" applyFont="1" applyFill="1" applyBorder="1" applyAlignment="1" applyProtection="1">
      <alignment vertical="center"/>
    </xf>
    <xf numFmtId="178" fontId="26" fillId="0" borderId="0" xfId="0" applyNumberFormat="1" applyFont="1" applyFill="1" applyBorder="1" applyAlignment="1" applyProtection="1">
      <alignment horizontal="right" vertical="center"/>
    </xf>
    <xf numFmtId="0" fontId="28" fillId="0" borderId="13" xfId="0" applyNumberFormat="1" applyFont="1" applyFill="1" applyBorder="1" applyAlignment="1" applyProtection="1">
      <alignment vertical="center"/>
    </xf>
    <xf numFmtId="0" fontId="28" fillId="0" borderId="9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8" fillId="0" borderId="13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178" fontId="28" fillId="0" borderId="13" xfId="0" applyNumberFormat="1" applyFont="1" applyFill="1" applyBorder="1" applyAlignment="1" applyProtection="1">
      <alignment horizontal="right" vertical="center"/>
    </xf>
    <xf numFmtId="178" fontId="65" fillId="0" borderId="4" xfId="0" applyNumberFormat="1" applyFont="1" applyFill="1" applyBorder="1" applyAlignment="1" applyProtection="1">
      <alignment horizontal="right" vertical="center"/>
    </xf>
    <xf numFmtId="178" fontId="65" fillId="0" borderId="5" xfId="0" applyNumberFormat="1" applyFont="1" applyFill="1" applyBorder="1" applyAlignment="1" applyProtection="1">
      <alignment horizontal="right" vertical="center"/>
    </xf>
    <xf numFmtId="178" fontId="74" fillId="0" borderId="4" xfId="0" applyNumberFormat="1" applyFont="1" applyFill="1" applyBorder="1" applyAlignment="1" applyProtection="1">
      <alignment horizontal="right" vertical="center"/>
    </xf>
    <xf numFmtId="178" fontId="74" fillId="0" borderId="5" xfId="0" applyNumberFormat="1" applyFont="1" applyFill="1" applyBorder="1" applyAlignment="1" applyProtection="1">
      <alignment horizontal="right" vertical="center"/>
    </xf>
    <xf numFmtId="178" fontId="67" fillId="0" borderId="4" xfId="0" applyNumberFormat="1" applyFont="1" applyFill="1" applyBorder="1" applyAlignment="1" applyProtection="1">
      <alignment horizontal="right" vertical="center"/>
    </xf>
    <xf numFmtId="178" fontId="67" fillId="0" borderId="5" xfId="0" applyNumberFormat="1" applyFont="1" applyFill="1" applyBorder="1" applyAlignment="1" applyProtection="1">
      <alignment horizontal="right" vertical="center"/>
    </xf>
    <xf numFmtId="178" fontId="69" fillId="0" borderId="4" xfId="0" applyNumberFormat="1" applyFont="1" applyFill="1" applyBorder="1" applyAlignment="1" applyProtection="1">
      <alignment horizontal="right" vertical="center"/>
    </xf>
    <xf numFmtId="178" fontId="69" fillId="0" borderId="5" xfId="0" applyNumberFormat="1" applyFont="1" applyFill="1" applyBorder="1" applyAlignment="1" applyProtection="1">
      <alignment horizontal="right" vertical="center"/>
    </xf>
    <xf numFmtId="178" fontId="28" fillId="0" borderId="14" xfId="0" applyNumberFormat="1" applyFont="1" applyFill="1" applyBorder="1" applyAlignment="1" applyProtection="1">
      <alignment horizontal="center" vertical="center"/>
    </xf>
    <xf numFmtId="178" fontId="28" fillId="0" borderId="6" xfId="0" applyNumberFormat="1" applyFont="1" applyFill="1" applyBorder="1" applyAlignment="1" applyProtection="1">
      <alignment horizontal="center" vertical="center"/>
    </xf>
    <xf numFmtId="178" fontId="28" fillId="0" borderId="15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Protection="1"/>
    <xf numFmtId="0" fontId="21" fillId="0" borderId="0" xfId="0" applyFont="1" applyFill="1" applyAlignment="1" applyProtection="1">
      <alignment vertical="center"/>
    </xf>
    <xf numFmtId="0" fontId="31" fillId="4" borderId="10" xfId="0" applyFont="1" applyFill="1" applyBorder="1" applyAlignment="1" applyProtection="1">
      <alignment vertical="center"/>
    </xf>
    <xf numFmtId="0" fontId="31" fillId="4" borderId="11" xfId="0" applyFont="1" applyFill="1" applyBorder="1" applyAlignment="1" applyProtection="1">
      <alignment horizontal="center" vertical="center"/>
    </xf>
    <xf numFmtId="0" fontId="31" fillId="4" borderId="11" xfId="0" applyFont="1" applyFill="1" applyBorder="1" applyAlignment="1" applyProtection="1">
      <alignment vertical="center"/>
    </xf>
    <xf numFmtId="0" fontId="31" fillId="4" borderId="11" xfId="0" applyFont="1" applyFill="1" applyBorder="1" applyAlignment="1" applyProtection="1">
      <alignment horizontal="right" vertical="center"/>
    </xf>
    <xf numFmtId="0" fontId="31" fillId="4" borderId="11" xfId="0" applyFont="1" applyFill="1" applyBorder="1" applyProtection="1"/>
    <xf numFmtId="0" fontId="31" fillId="4" borderId="12" xfId="0" applyFont="1" applyFill="1" applyBorder="1" applyProtection="1"/>
    <xf numFmtId="0" fontId="33" fillId="4" borderId="9" xfId="0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center" vertical="center"/>
    </xf>
    <xf numFmtId="178" fontId="35" fillId="8" borderId="68" xfId="0" applyNumberFormat="1" applyFont="1" applyFill="1" applyBorder="1" applyAlignment="1" applyProtection="1">
      <alignment horizontal="right" vertical="center"/>
    </xf>
    <xf numFmtId="178" fontId="35" fillId="8" borderId="69" xfId="0" applyNumberFormat="1" applyFont="1" applyFill="1" applyBorder="1" applyAlignment="1" applyProtection="1">
      <alignment horizontal="right" vertical="center"/>
    </xf>
    <xf numFmtId="0" fontId="33" fillId="4" borderId="0" xfId="0" applyFont="1" applyFill="1" applyBorder="1" applyAlignment="1" applyProtection="1">
      <alignment horizontal="left" vertical="center"/>
    </xf>
    <xf numFmtId="0" fontId="26" fillId="4" borderId="0" xfId="0" applyFont="1" applyFill="1" applyBorder="1" applyAlignment="1" applyProtection="1">
      <alignment vertical="center"/>
    </xf>
    <xf numFmtId="0" fontId="26" fillId="4" borderId="13" xfId="0" applyFont="1" applyFill="1" applyBorder="1" applyProtection="1"/>
    <xf numFmtId="0" fontId="26" fillId="4" borderId="9" xfId="0" applyFont="1" applyFill="1" applyBorder="1" applyAlignment="1" applyProtection="1">
      <alignment horizontal="left" vertical="center"/>
    </xf>
    <xf numFmtId="0" fontId="26" fillId="4" borderId="0" xfId="0" applyFont="1" applyFill="1" applyBorder="1" applyAlignment="1" applyProtection="1">
      <alignment horizontal="left" vertical="center"/>
    </xf>
    <xf numFmtId="0" fontId="26" fillId="4" borderId="0" xfId="0" applyFont="1" applyFill="1" applyBorder="1" applyAlignment="1" applyProtection="1">
      <alignment horizontal="center" vertical="center"/>
    </xf>
    <xf numFmtId="0" fontId="32" fillId="4" borderId="0" xfId="0" applyFont="1" applyFill="1" applyBorder="1" applyAlignment="1" applyProtection="1">
      <alignment vertical="center"/>
    </xf>
    <xf numFmtId="0" fontId="36" fillId="4" borderId="0" xfId="0" applyFont="1" applyFill="1" applyBorder="1" applyAlignment="1" applyProtection="1">
      <alignment horizontal="right" vertical="center" wrapText="1"/>
    </xf>
    <xf numFmtId="0" fontId="36" fillId="4" borderId="13" xfId="0" applyFont="1" applyFill="1" applyBorder="1" applyAlignment="1" applyProtection="1">
      <alignment vertical="center" wrapText="1"/>
    </xf>
    <xf numFmtId="0" fontId="26" fillId="4" borderId="14" xfId="0" applyFont="1" applyFill="1" applyBorder="1" applyAlignment="1" applyProtection="1">
      <alignment horizontal="left" vertical="center"/>
    </xf>
    <xf numFmtId="0" fontId="26" fillId="4" borderId="6" xfId="0" applyFont="1" applyFill="1" applyBorder="1" applyAlignment="1" applyProtection="1">
      <alignment horizontal="left" vertical="center"/>
    </xf>
    <xf numFmtId="0" fontId="26" fillId="4" borderId="6" xfId="0" applyFont="1" applyFill="1" applyBorder="1" applyAlignment="1" applyProtection="1">
      <alignment vertical="center"/>
    </xf>
    <xf numFmtId="0" fontId="26" fillId="4" borderId="6" xfId="0" applyFont="1" applyFill="1" applyBorder="1" applyAlignment="1" applyProtection="1">
      <alignment horizontal="center" vertical="center"/>
    </xf>
    <xf numFmtId="0" fontId="37" fillId="4" borderId="6" xfId="0" applyFont="1" applyFill="1" applyBorder="1" applyAlignment="1" applyProtection="1">
      <alignment vertical="center" wrapText="1"/>
    </xf>
    <xf numFmtId="0" fontId="37" fillId="4" borderId="15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horizontal="center" vertical="center"/>
    </xf>
    <xf numFmtId="0" fontId="37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vertical="center"/>
    </xf>
    <xf numFmtId="0" fontId="32" fillId="0" borderId="0" xfId="0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vertical="center"/>
    </xf>
    <xf numFmtId="0" fontId="53" fillId="0" borderId="0" xfId="0" applyFont="1" applyFill="1" applyAlignment="1" applyProtection="1">
      <alignment vertical="top" wrapText="1"/>
    </xf>
    <xf numFmtId="0" fontId="54" fillId="0" borderId="0" xfId="0" applyFont="1" applyFill="1" applyAlignment="1" applyProtection="1">
      <alignment horizontal="left" vertical="center"/>
    </xf>
    <xf numFmtId="0" fontId="5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0" fontId="22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ECD9"/>
      <color rgb="FFFFFFCC"/>
      <color rgb="FFEDFEE2"/>
      <color rgb="FFECFECE"/>
      <color rgb="FFDBFFB7"/>
      <color rgb="FFE2FDCF"/>
      <color rgb="FFF07E81"/>
      <color rgb="FF9BE5FF"/>
      <color rgb="FFD5FECE"/>
      <color rgb="FFCD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57150</xdr:colOff>
      <xdr:row>0</xdr:row>
      <xdr:rowOff>26091</xdr:rowOff>
    </xdr:from>
    <xdr:ext cx="4476750" cy="5184084"/>
    <xdr:sp macro="" textlink="">
      <xdr:nvSpPr>
        <xdr:cNvPr id="12" name="Shape 20">
          <a:extLst>
            <a:ext uri="{FF2B5EF4-FFF2-40B4-BE49-F238E27FC236}">
              <a16:creationId xmlns:a16="http://schemas.microsoft.com/office/drawing/2014/main" id="{A046FCE7-C88B-434F-9E1C-5DFD5CA34107}"/>
            </a:ext>
          </a:extLst>
        </xdr:cNvPr>
        <xdr:cNvSpPr/>
      </xdr:nvSpPr>
      <xdr:spPr>
        <a:xfrm>
          <a:off x="5895975" y="26091"/>
          <a:ext cx="4476750" cy="5184084"/>
        </a:xfrm>
        <a:prstGeom prst="roundRect">
          <a:avLst>
            <a:gd name="adj" fmla="val 1891"/>
          </a:avLst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spcFirstLastPara="1" wrap="square" lIns="91425" tIns="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Arial"/>
              <a:sym typeface="Arial"/>
            </a:rPr>
            <a:t>&lt;</a:t>
          </a:r>
          <a:r>
            <a:rPr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Arial"/>
              <a:sym typeface="Arial"/>
            </a:rPr>
            <a:t>　入　力　手　順　</a:t>
          </a:r>
          <a:r>
            <a:rPr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Arial"/>
              <a:sym typeface="Arial"/>
            </a:rPr>
            <a:t>&gt;</a:t>
          </a:r>
          <a:endParaRPr sz="16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oneCellAnchor>
  <xdr:twoCellAnchor>
    <xdr:from>
      <xdr:col>16</xdr:col>
      <xdr:colOff>149085</xdr:colOff>
      <xdr:row>2</xdr:row>
      <xdr:rowOff>24847</xdr:rowOff>
    </xdr:from>
    <xdr:to>
      <xdr:col>24</xdr:col>
      <xdr:colOff>215344</xdr:colOff>
      <xdr:row>4</xdr:row>
      <xdr:rowOff>115956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8C3F442-B47E-4241-95C7-3A4E9173DC38}"/>
            </a:ext>
          </a:extLst>
        </xdr:cNvPr>
        <xdr:cNvSpPr/>
      </xdr:nvSpPr>
      <xdr:spPr>
        <a:xfrm>
          <a:off x="5988324" y="331304"/>
          <a:ext cx="4290390" cy="472109"/>
        </a:xfrm>
        <a:prstGeom prst="wedgeRectCallout">
          <a:avLst>
            <a:gd name="adj1" fmla="val -151836"/>
            <a:gd name="adj2" fmla="val -19483"/>
          </a:avLst>
        </a:prstGeom>
        <a:solidFill>
          <a:srgbClr val="FFFFCC"/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①世帯主の方の国民健康保険の加入有無を選択してください。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「世帯主の加入なし」または「世帯主の加入有」</a:t>
          </a:r>
        </a:p>
      </xdr:txBody>
    </xdr:sp>
    <xdr:clientData fPrintsWithSheet="0"/>
  </xdr:twoCellAnchor>
  <xdr:twoCellAnchor>
    <xdr:from>
      <xdr:col>16</xdr:col>
      <xdr:colOff>149085</xdr:colOff>
      <xdr:row>5</xdr:row>
      <xdr:rowOff>16567</xdr:rowOff>
    </xdr:from>
    <xdr:to>
      <xdr:col>24</xdr:col>
      <xdr:colOff>215344</xdr:colOff>
      <xdr:row>6</xdr:row>
      <xdr:rowOff>198783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095CFF5-CE46-4393-9D1A-D790E91DCDF1}"/>
            </a:ext>
          </a:extLst>
        </xdr:cNvPr>
        <xdr:cNvSpPr/>
      </xdr:nvSpPr>
      <xdr:spPr>
        <a:xfrm>
          <a:off x="5988324" y="853110"/>
          <a:ext cx="4290390" cy="389282"/>
        </a:xfrm>
        <a:prstGeom prst="wedgeRectCallout">
          <a:avLst>
            <a:gd name="adj1" fmla="val -176354"/>
            <a:gd name="adj2" fmla="val 116461"/>
          </a:avLst>
        </a:prstGeom>
        <a:solidFill>
          <a:schemeClr val="accent5">
            <a:lumMod val="20000"/>
            <a:lumOff val="80000"/>
          </a:schemeClr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②国民健康保険に加入する方の「続柄」を入力してください。</a:t>
          </a:r>
        </a:p>
      </xdr:txBody>
    </xdr:sp>
    <xdr:clientData fPrintsWithSheet="0"/>
  </xdr:twoCellAnchor>
  <xdr:twoCellAnchor>
    <xdr:from>
      <xdr:col>16</xdr:col>
      <xdr:colOff>149084</xdr:colOff>
      <xdr:row>7</xdr:row>
      <xdr:rowOff>49696</xdr:rowOff>
    </xdr:from>
    <xdr:to>
      <xdr:col>24</xdr:col>
      <xdr:colOff>215343</xdr:colOff>
      <xdr:row>9</xdr:row>
      <xdr:rowOff>56338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6C0DE34-0826-48CA-928F-721595DC8802}"/>
            </a:ext>
          </a:extLst>
        </xdr:cNvPr>
        <xdr:cNvSpPr/>
      </xdr:nvSpPr>
      <xdr:spPr>
        <a:xfrm>
          <a:off x="5988323" y="1300370"/>
          <a:ext cx="4290390" cy="420772"/>
        </a:xfrm>
        <a:prstGeom prst="wedgeRectCallout">
          <a:avLst>
            <a:gd name="adj1" fmla="val -166508"/>
            <a:gd name="adj2" fmla="val 39585"/>
          </a:avLst>
        </a:prstGeom>
        <a:pattFill prst="pct90">
          <a:fgClr>
            <a:srgbClr val="EDFEE2"/>
          </a:fgClr>
          <a:bgClr>
            <a:schemeClr val="bg1"/>
          </a:bgClr>
        </a:patt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③世帯主と加入する方の令和８年</a:t>
          </a:r>
          <a:r>
            <a:rPr kumimoji="1" lang="ja-JP" altLang="en-US" sz="10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４月１日時点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の「年齢」を入力してください。</a:t>
          </a:r>
        </a:p>
      </xdr:txBody>
    </xdr:sp>
    <xdr:clientData fPrintsWithSheet="0"/>
  </xdr:twoCellAnchor>
  <xdr:twoCellAnchor>
    <xdr:from>
      <xdr:col>16</xdr:col>
      <xdr:colOff>149085</xdr:colOff>
      <xdr:row>12</xdr:row>
      <xdr:rowOff>3</xdr:rowOff>
    </xdr:from>
    <xdr:to>
      <xdr:col>24</xdr:col>
      <xdr:colOff>215344</xdr:colOff>
      <xdr:row>14</xdr:row>
      <xdr:rowOff>16568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6BADF31-D3DC-4FAC-AB2B-5ABD724929FE}"/>
            </a:ext>
          </a:extLst>
        </xdr:cNvPr>
        <xdr:cNvSpPr/>
      </xdr:nvSpPr>
      <xdr:spPr>
        <a:xfrm>
          <a:off x="5987910" y="2305053"/>
          <a:ext cx="4285834" cy="435665"/>
        </a:xfrm>
        <a:prstGeom prst="wedgeRectCallout">
          <a:avLst>
            <a:gd name="adj1" fmla="val -14192"/>
            <a:gd name="adj2" fmla="val -35722"/>
          </a:avLst>
        </a:prstGeom>
        <a:solidFill>
          <a:schemeClr val="accent2">
            <a:lumMod val="20000"/>
            <a:lumOff val="80000"/>
          </a:schemeClr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④世帯主と加入する方全員の</a:t>
          </a:r>
          <a:r>
            <a:rPr kumimoji="1" lang="ja-JP" altLang="en-US" sz="10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令和７年中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の収入金額等を入力してください。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収入がない場合は入力不要です。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>
    <xdr:from>
      <xdr:col>16</xdr:col>
      <xdr:colOff>149085</xdr:colOff>
      <xdr:row>14</xdr:row>
      <xdr:rowOff>66263</xdr:rowOff>
    </xdr:from>
    <xdr:to>
      <xdr:col>24</xdr:col>
      <xdr:colOff>215344</xdr:colOff>
      <xdr:row>16</xdr:row>
      <xdr:rowOff>157374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99749BB8-FF40-47D5-B6A3-77D0F41DE37F}"/>
            </a:ext>
          </a:extLst>
        </xdr:cNvPr>
        <xdr:cNvSpPr/>
      </xdr:nvSpPr>
      <xdr:spPr>
        <a:xfrm>
          <a:off x="5987910" y="2790413"/>
          <a:ext cx="4285834" cy="510211"/>
        </a:xfrm>
        <a:prstGeom prst="wedgeRectCallout">
          <a:avLst>
            <a:gd name="adj1" fmla="val -128285"/>
            <a:gd name="adj2" fmla="val -13645"/>
          </a:avLst>
        </a:prstGeom>
        <a:solidFill>
          <a:schemeClr val="accent2">
            <a:lumMod val="20000"/>
            <a:lumOff val="80000"/>
          </a:schemeClr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・給与または年金収入のみの方は、源泉徴収票に記載されている「支払金額」を入力してください。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>
    <xdr:from>
      <xdr:col>16</xdr:col>
      <xdr:colOff>149085</xdr:colOff>
      <xdr:row>17</xdr:row>
      <xdr:rowOff>16566</xdr:rowOff>
    </xdr:from>
    <xdr:to>
      <xdr:col>24</xdr:col>
      <xdr:colOff>215344</xdr:colOff>
      <xdr:row>19</xdr:row>
      <xdr:rowOff>99394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D9473A34-9116-4D87-8EB1-3F3BA2351805}"/>
            </a:ext>
          </a:extLst>
        </xdr:cNvPr>
        <xdr:cNvSpPr/>
      </xdr:nvSpPr>
      <xdr:spPr>
        <a:xfrm>
          <a:off x="5987910" y="3369366"/>
          <a:ext cx="4285834" cy="501928"/>
        </a:xfrm>
        <a:prstGeom prst="wedgeRectCallout">
          <a:avLst>
            <a:gd name="adj1" fmla="val -99105"/>
            <a:gd name="adj2" fmla="val -71557"/>
          </a:avLst>
        </a:prstGeom>
        <a:solidFill>
          <a:schemeClr val="accent2">
            <a:lumMod val="20000"/>
            <a:lumOff val="80000"/>
          </a:schemeClr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・給与や年金以外のその他の所得がある方は、その他の所得の合計額を入力してください。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>
    <xdr:from>
      <xdr:col>16</xdr:col>
      <xdr:colOff>149085</xdr:colOff>
      <xdr:row>9</xdr:row>
      <xdr:rowOff>115957</xdr:rowOff>
    </xdr:from>
    <xdr:to>
      <xdr:col>24</xdr:col>
      <xdr:colOff>215344</xdr:colOff>
      <xdr:row>11</xdr:row>
      <xdr:rowOff>157370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BC80CCEC-27E3-4BB1-882F-539924C05D1A}"/>
            </a:ext>
          </a:extLst>
        </xdr:cNvPr>
        <xdr:cNvSpPr/>
      </xdr:nvSpPr>
      <xdr:spPr>
        <a:xfrm>
          <a:off x="5988324" y="1780761"/>
          <a:ext cx="4290390" cy="455544"/>
        </a:xfrm>
        <a:prstGeom prst="wedgeRectCallout">
          <a:avLst>
            <a:gd name="adj1" fmla="val -164964"/>
            <a:gd name="adj2" fmla="val -2247"/>
          </a:avLst>
        </a:prstGeom>
        <a:pattFill prst="pct90">
          <a:fgClr>
            <a:srgbClr val="EDFEE2"/>
          </a:fgClr>
          <a:bgClr>
            <a:schemeClr val="bg1"/>
          </a:bgClr>
        </a:patt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・令和８年</a:t>
          </a:r>
          <a:r>
            <a:rPr kumimoji="1" lang="ja-JP" altLang="en-US" sz="10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１月１日時点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の年齢が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64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歳の場合のみ、「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月１日年齢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64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歳」を選択してください。</a:t>
          </a:r>
        </a:p>
      </xdr:txBody>
    </xdr:sp>
    <xdr:clientData fPrintsWithSheet="0"/>
  </xdr:twoCellAnchor>
  <xdr:twoCellAnchor>
    <xdr:from>
      <xdr:col>16</xdr:col>
      <xdr:colOff>149085</xdr:colOff>
      <xdr:row>19</xdr:row>
      <xdr:rowOff>207479</xdr:rowOff>
    </xdr:from>
    <xdr:to>
      <xdr:col>24</xdr:col>
      <xdr:colOff>215344</xdr:colOff>
      <xdr:row>25</xdr:row>
      <xdr:rowOff>124653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CB892F3B-8C9A-4296-93D0-EC55472563B9}"/>
            </a:ext>
          </a:extLst>
        </xdr:cNvPr>
        <xdr:cNvSpPr/>
      </xdr:nvSpPr>
      <xdr:spPr>
        <a:xfrm>
          <a:off x="5987910" y="3979379"/>
          <a:ext cx="4285834" cy="1155424"/>
        </a:xfrm>
        <a:prstGeom prst="wedgeRectCallout">
          <a:avLst>
            <a:gd name="adj1" fmla="val -55698"/>
            <a:gd name="adj2" fmla="val -54406"/>
          </a:avLst>
        </a:prstGeom>
        <a:solidFill>
          <a:srgbClr val="FFECD9"/>
        </a:solidFill>
        <a:ln w="9525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⑤雇用保険受給資格がある方で、離職日時点の年齢が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64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歳以下であり、雇用保険受給資格者証に記載の離職理由コードが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21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22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23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31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32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33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，</a:t>
          </a:r>
          <a:r>
            <a:rPr kumimoji="1" lang="en-US" altLang="ja-JP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34</a:t>
          </a:r>
          <a:r>
            <a:rPr kumimoji="1" lang="ja-JP" altLang="en-US" sz="10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のいずれかに該当する場合は、「非自発的失業者に係る軽減」に該当します。該当する場合は「非自発該当」を選択してください。</a:t>
          </a:r>
          <a:endParaRPr kumimoji="1" lang="en-US" altLang="ja-JP" sz="10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非自発的失業者に係る軽減を受けるには、国民健康保険課で申請手続きが必要です。</a:t>
          </a:r>
          <a:endParaRPr kumimoji="1" lang="en-US" altLang="ja-JP" sz="1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>
    <xdr:from>
      <xdr:col>16</xdr:col>
      <xdr:colOff>149085</xdr:colOff>
      <xdr:row>32</xdr:row>
      <xdr:rowOff>38101</xdr:rowOff>
    </xdr:from>
    <xdr:to>
      <xdr:col>24</xdr:col>
      <xdr:colOff>215344</xdr:colOff>
      <xdr:row>44</xdr:row>
      <xdr:rowOff>123825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D414AFCD-C5F7-480F-9F37-CA8FBA8CA252}"/>
            </a:ext>
          </a:extLst>
        </xdr:cNvPr>
        <xdr:cNvSpPr/>
      </xdr:nvSpPr>
      <xdr:spPr>
        <a:xfrm>
          <a:off x="5987910" y="5857876"/>
          <a:ext cx="4285834" cy="2009774"/>
        </a:xfrm>
        <a:prstGeom prst="wedgeRectCallout">
          <a:avLst>
            <a:gd name="adj1" fmla="val -75255"/>
            <a:gd name="adj2" fmla="val 118426"/>
          </a:avLst>
        </a:prstGeom>
        <a:solidFill>
          <a:srgbClr val="FFFFCC"/>
        </a:solidFill>
        <a:ln w="28575" cmpd="dbl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・結果はあくまでも試算であり、実際の保険料と異なる場合があります。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・年度の途中で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40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歳になる場合、本来は介護保険料分が加算されますが、この試算では計算されせん。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・保険料のお支払いは、普通徴収の場合、年間合計を９期に分けてお支払いいただきます。したがって、１回あたりの支払金額は、月当たりの金額よりも大きくなります。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 editAs="oneCell">
    <xdr:from>
      <xdr:col>26</xdr:col>
      <xdr:colOff>333375</xdr:colOff>
      <xdr:row>17</xdr:row>
      <xdr:rowOff>17644</xdr:rowOff>
    </xdr:from>
    <xdr:to>
      <xdr:col>34</xdr:col>
      <xdr:colOff>302079</xdr:colOff>
      <xdr:row>41</xdr:row>
      <xdr:rowOff>186417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E9B53EA-3B38-4F01-AA73-9A0327C9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3370444"/>
          <a:ext cx="5455104" cy="4054973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26</xdr:col>
      <xdr:colOff>365683</xdr:colOff>
      <xdr:row>2</xdr:row>
      <xdr:rowOff>218014</xdr:rowOff>
    </xdr:from>
    <xdr:to>
      <xdr:col>33</xdr:col>
      <xdr:colOff>421171</xdr:colOff>
      <xdr:row>16</xdr:row>
      <xdr:rowOff>41204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4923E10-50E8-4652-8364-12F0859D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7958" y="522814"/>
          <a:ext cx="4856088" cy="266164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28</xdr:col>
      <xdr:colOff>57150</xdr:colOff>
      <xdr:row>8</xdr:row>
      <xdr:rowOff>38100</xdr:rowOff>
    </xdr:from>
    <xdr:to>
      <xdr:col>29</xdr:col>
      <xdr:colOff>409575</xdr:colOff>
      <xdr:row>10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A646FABD-0FCB-4B13-BE30-FDAD5D65DF18}"/>
            </a:ext>
          </a:extLst>
        </xdr:cNvPr>
        <xdr:cNvSpPr/>
      </xdr:nvSpPr>
      <xdr:spPr>
        <a:xfrm>
          <a:off x="12011025" y="1504950"/>
          <a:ext cx="1038225" cy="4762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333375</xdr:colOff>
      <xdr:row>20</xdr:row>
      <xdr:rowOff>122419</xdr:rowOff>
    </xdr:from>
    <xdr:to>
      <xdr:col>31</xdr:col>
      <xdr:colOff>323850</xdr:colOff>
      <xdr:row>25</xdr:row>
      <xdr:rowOff>66675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DEBA1858-82FE-4315-BC0B-F5BC4126FBF1}"/>
            </a:ext>
          </a:extLst>
        </xdr:cNvPr>
        <xdr:cNvSpPr/>
      </xdr:nvSpPr>
      <xdr:spPr>
        <a:xfrm>
          <a:off x="12287250" y="4103869"/>
          <a:ext cx="2047875" cy="97295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215344</xdr:colOff>
      <xdr:row>9</xdr:row>
      <xdr:rowOff>66675</xdr:rowOff>
    </xdr:from>
    <xdr:to>
      <xdr:col>28</xdr:col>
      <xdr:colOff>57150</xdr:colOff>
      <xdr:row>15</xdr:row>
      <xdr:rowOff>111819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A75CF60-3ADA-4750-98A8-E62740123DB1}"/>
            </a:ext>
          </a:extLst>
        </xdr:cNvPr>
        <xdr:cNvCxnSpPr>
          <a:stCxn id="18" idx="1"/>
          <a:endCxn id="9" idx="3"/>
        </xdr:cNvCxnSpPr>
      </xdr:nvCxnSpPr>
      <xdr:spPr>
        <a:xfrm flipH="1">
          <a:off x="10273744" y="1743075"/>
          <a:ext cx="1737281" cy="130244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215344</xdr:colOff>
      <xdr:row>15</xdr:row>
      <xdr:rowOff>111819</xdr:rowOff>
    </xdr:from>
    <xdr:to>
      <xdr:col>28</xdr:col>
      <xdr:colOff>333375</xdr:colOff>
      <xdr:row>22</xdr:row>
      <xdr:rowOff>189797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BE94075-9D56-4C73-A698-38D890DDA221}"/>
            </a:ext>
          </a:extLst>
        </xdr:cNvPr>
        <xdr:cNvCxnSpPr>
          <a:stCxn id="19" idx="1"/>
          <a:endCxn id="9" idx="3"/>
        </xdr:cNvCxnSpPr>
      </xdr:nvCxnSpPr>
      <xdr:spPr>
        <a:xfrm flipH="1" flipV="1">
          <a:off x="10273744" y="3045519"/>
          <a:ext cx="2013506" cy="154482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5" tint="0.59999389629810485"/>
    <pageSetUpPr fitToPage="1"/>
  </sheetPr>
  <dimension ref="A1:AJ74"/>
  <sheetViews>
    <sheetView showGridLines="0" tabSelected="1" zoomScaleNormal="100" zoomScaleSheetLayoutView="100" workbookViewId="0">
      <selection activeCell="O15" sqref="O15:P17"/>
    </sheetView>
  </sheetViews>
  <sheetFormatPr defaultRowHeight="12"/>
  <cols>
    <col min="1" max="1" width="1.375" style="43" customWidth="1"/>
    <col min="2" max="2" width="5.75" style="1" customWidth="1"/>
    <col min="3" max="3" width="6.75" style="2" customWidth="1"/>
    <col min="4" max="4" width="6.125" style="2" customWidth="1"/>
    <col min="5" max="5" width="5.875" style="2" customWidth="1"/>
    <col min="6" max="6" width="2.625" style="1" customWidth="1"/>
    <col min="7" max="7" width="5.625" style="1" customWidth="1"/>
    <col min="8" max="8" width="6.75" style="1" customWidth="1"/>
    <col min="9" max="9" width="5.25" style="1" customWidth="1"/>
    <col min="10" max="10" width="4.5" style="1" customWidth="1"/>
    <col min="11" max="11" width="2.125" style="1" customWidth="1"/>
    <col min="12" max="12" width="4.75" style="1" customWidth="1"/>
    <col min="13" max="13" width="6" style="3" customWidth="1"/>
    <col min="14" max="14" width="4.375" style="1" customWidth="1"/>
    <col min="15" max="15" width="6.625" style="1" customWidth="1"/>
    <col min="16" max="16" width="2.125" style="3" customWidth="1"/>
    <col min="17" max="17" width="5.875" style="1" customWidth="1"/>
    <col min="18" max="18" width="5.75" style="3" customWidth="1"/>
    <col min="19" max="19" width="5.75" style="1" customWidth="1"/>
    <col min="20" max="20" width="5.25" style="3" customWidth="1"/>
    <col min="21" max="21" width="2.25" style="1" customWidth="1"/>
    <col min="22" max="22" width="10" style="179" hidden="1" customWidth="1"/>
    <col min="23" max="23" width="8.875" style="180" hidden="1" customWidth="1"/>
    <col min="24" max="24" width="11.625" style="180" hidden="1" customWidth="1"/>
    <col min="25" max="25" width="6.875" style="180" hidden="1" customWidth="1"/>
    <col min="26" max="26" width="9" style="180" hidden="1" customWidth="1"/>
    <col min="27" max="31" width="9" style="181" hidden="1" customWidth="1"/>
    <col min="32" max="32" width="9" style="161" customWidth="1"/>
    <col min="33" max="36" width="9" style="156"/>
    <col min="37" max="16384" width="9" style="1"/>
  </cols>
  <sheetData>
    <row r="1" spans="1:31" ht="9" customHeight="1">
      <c r="A1" s="199" t="s">
        <v>69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O1" s="45"/>
      <c r="R1" s="357" t="s">
        <v>52</v>
      </c>
      <c r="S1" s="358"/>
      <c r="T1" s="258">
        <f>IF(V2=TRUE,COUNTA(C6:C23),COUNTA(C9:C23))</f>
        <v>0</v>
      </c>
      <c r="U1" s="315" t="s">
        <v>7</v>
      </c>
    </row>
    <row r="2" spans="1:31" ht="15" customHeight="1" thickBot="1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O2" s="45"/>
      <c r="P2" s="123"/>
      <c r="R2" s="357"/>
      <c r="S2" s="358"/>
      <c r="T2" s="259"/>
      <c r="U2" s="315"/>
      <c r="V2" s="182" t="b">
        <f>IF(B3="世帯主の加入有",TRUE,FALSE)</f>
        <v>0</v>
      </c>
    </row>
    <row r="3" spans="1:31" ht="18" customHeight="1" thickBot="1">
      <c r="A3" s="40"/>
      <c r="B3" s="200"/>
      <c r="C3" s="201"/>
      <c r="D3" s="202"/>
      <c r="E3" s="25"/>
      <c r="F3" s="18"/>
      <c r="G3" s="18"/>
      <c r="H3" s="18"/>
      <c r="I3" s="18"/>
      <c r="J3" s="18"/>
      <c r="O3" s="45"/>
      <c r="P3" s="46"/>
      <c r="R3" s="46"/>
      <c r="S3" s="47"/>
      <c r="T3" s="46"/>
      <c r="U3" s="46"/>
      <c r="V3" s="182" t="b">
        <v>0</v>
      </c>
      <c r="X3" s="183">
        <f>MAX(IF(SUM(V11,H8,V12)&gt;430000,SUM(V11,H8,V12)-430000,0)-IF(AND(V11&gt;0,V12&gt;0),IF(SUM(V11,H8,V12)&gt;100000,(MIN(V11,100000)+MIN(V12,100000))-100000,0),0),0)</f>
        <v>0</v>
      </c>
    </row>
    <row r="4" spans="1:31" ht="12" customHeight="1">
      <c r="A4" s="141"/>
      <c r="B4" s="362" t="s">
        <v>35</v>
      </c>
      <c r="C4" s="363" t="s">
        <v>8</v>
      </c>
      <c r="D4" s="364" t="s">
        <v>9</v>
      </c>
      <c r="E4" s="359" t="s">
        <v>3</v>
      </c>
      <c r="F4" s="359"/>
      <c r="G4" s="359"/>
      <c r="H4" s="359" t="s">
        <v>4</v>
      </c>
      <c r="I4" s="359"/>
      <c r="J4" s="359"/>
      <c r="K4" s="264" t="s">
        <v>42</v>
      </c>
      <c r="L4" s="264"/>
      <c r="M4" s="264"/>
      <c r="N4" s="264"/>
      <c r="O4" s="365" t="s">
        <v>65</v>
      </c>
      <c r="P4" s="366"/>
      <c r="R4" s="304" t="s">
        <v>66</v>
      </c>
      <c r="S4" s="305"/>
      <c r="T4" s="258">
        <f>IF(V2=TRUE,COUNTIF(C6:C23,"&lt;65")-COUNTIF(C6:C23,"&lt;40"),COUNTIF(C9:C23,"&lt;65")-COUNTIF(C9:C23,"&lt;40"))</f>
        <v>0</v>
      </c>
      <c r="U4" s="257" t="s">
        <v>7</v>
      </c>
      <c r="V4" s="182" t="b">
        <f>IF(B8&lt;&gt;"",TRUE,FALSE)</f>
        <v>0</v>
      </c>
    </row>
    <row r="5" spans="1:31" ht="12" customHeight="1" thickBot="1">
      <c r="A5" s="143"/>
      <c r="B5" s="361"/>
      <c r="C5" s="360"/>
      <c r="D5" s="360"/>
      <c r="E5" s="360"/>
      <c r="F5" s="360"/>
      <c r="G5" s="360"/>
      <c r="H5" s="361"/>
      <c r="I5" s="361"/>
      <c r="J5" s="361"/>
      <c r="K5" s="265"/>
      <c r="L5" s="265"/>
      <c r="M5" s="265"/>
      <c r="N5" s="265"/>
      <c r="O5" s="365"/>
      <c r="P5" s="366"/>
      <c r="R5" s="304"/>
      <c r="S5" s="305"/>
      <c r="T5" s="259"/>
      <c r="U5" s="257"/>
      <c r="V5" s="182" t="b">
        <f>IF(B11&lt;&gt;"",TRUE,FALSE)</f>
        <v>0</v>
      </c>
      <c r="W5" s="184"/>
      <c r="AE5" s="181" t="s">
        <v>91</v>
      </c>
    </row>
    <row r="6" spans="1:31" ht="16.5" customHeight="1">
      <c r="A6" s="144">
        <f>COUNTA(B6,E6)</f>
        <v>1</v>
      </c>
      <c r="B6" s="209" t="s">
        <v>87</v>
      </c>
      <c r="C6" s="211"/>
      <c r="D6" s="171" t="s">
        <v>0</v>
      </c>
      <c r="E6" s="251"/>
      <c r="F6" s="252"/>
      <c r="G6" s="253"/>
      <c r="H6" s="306" t="str">
        <f>IF(AND(Z7=TRUE,E6&gt;0),0.3*IF(E6=0," ",IF(AND(E6=0,OR(A6=0,A6=1))," ",IF(E6&lt;650000,0,IF(E6&lt;1900000,E6-650000,IF(E6&lt;3600000,INT(E6/4000)*4000*0.7-80000,IF(E6&lt;6600000,INT(E6/4000)*4000*0.8-440000,IF(E6&lt;8500000,INT(E6*0.9-1100000),IF(E6&gt;=8500000,INT(E6-1950000))))))))),IF(E6=0," ",IF(AND(E6=0,OR(A6=0,A6=1))," ",IF(E6&lt;650000,0,IF(E6&lt;1900000,E6-650000,IF(E6&lt;3600000,INT(E6/4000)*4000*0.7-80000,IF(E6&lt;6600000,INT(E6/4000)*4000*0.8-440000,IF(E6&lt;8500000,INT(E6*0.9-1100000),IF(E6&gt;=8500000,INT(E6-1950000))))))))))</f>
        <v xml:space="preserve"> </v>
      </c>
      <c r="I6" s="307"/>
      <c r="J6" s="307"/>
      <c r="K6" s="266">
        <f>MAX(IF(SUM(V11,H8,V12)&gt;430000,SUM(V11,H8,V12)-430000,0)-IF(AND(V11&gt;0,V12&gt;0),IF(SUM(V11,V12)&gt;100000,(MIN(V11,100000)+MIN(V12,100000))-100000,0),0),0)</f>
        <v>0</v>
      </c>
      <c r="L6" s="266"/>
      <c r="M6" s="266"/>
      <c r="N6" s="267"/>
      <c r="O6" s="203"/>
      <c r="P6" s="204"/>
      <c r="R6" s="48"/>
      <c r="S6" s="44"/>
      <c r="T6" s="46"/>
      <c r="U6" s="124"/>
      <c r="V6" s="182" t="b">
        <f>IF(B14&lt;&gt;"",TRUE,FALSE)</f>
        <v>0</v>
      </c>
      <c r="W6" s="184"/>
      <c r="Z6" s="180" t="s">
        <v>65</v>
      </c>
      <c r="AB6" s="185" t="s">
        <v>88</v>
      </c>
      <c r="AD6" s="181" t="s">
        <v>89</v>
      </c>
      <c r="AE6" s="181" t="s">
        <v>90</v>
      </c>
    </row>
    <row r="7" spans="1:31" ht="16.5" customHeight="1" thickBot="1">
      <c r="A7" s="144">
        <f>COUNTA(E7,B6)</f>
        <v>1</v>
      </c>
      <c r="B7" s="210"/>
      <c r="C7" s="212"/>
      <c r="D7" s="153" t="s">
        <v>1</v>
      </c>
      <c r="E7" s="316"/>
      <c r="F7" s="317"/>
      <c r="G7" s="318"/>
      <c r="H7" s="308" t="str">
        <f>IF(E7=0," ",IF(AND($V$4=TRUE,E7&lt;600000),0,IF(AND($V$4=TRUE,E7&lt;1300000),E7-600000,IF(AND($V$4=TRUE,E7&lt;4100000),E7*0.75-275000,IF(AND($V$4=TRUE,E7&lt;7700000),E7*0.85-685000,IF(AND($V$4=TRUE,E7&lt;=10000000),E7*0.95-1455000,IF(AND($V$4=TRUE,E7&gt;10000000),E7*100%-1955000,IF(AND(C6&lt;65,E7&lt;600000),0,IF(AND(C6&lt;65,E7&lt;1300000),E7-600000,IF(AND(C6&lt;65,E7&lt;4100000),E7*0.75-275000,IF(AND(C6&lt;65,E7&lt;7700000),E7*0.85-685000,IF(AND(C6&lt;65,E7&lt;=10000000),E7*0.95-1455000,IF(AND(C6&lt;65,E7&gt;10000000),E7*100%-1955000,(IF(AND(C6&gt;=65,E7&lt;1100000),0,IF(AND(C6&gt;=65,E7&lt;3300000),E7-1100000,IF(AND(C6&gt;=65,E7&lt;4100000),E7*0.75-275000,IF(AND(C6&gt;=65,E7&lt;7700000),E7*0.85-685000,IF(AND(C6&gt;=65,E7&lt;=10000000),E7*0.95-1455000,IF(AND(C6&gt;=65,E7&gt;10000000),E7*100%-1955000))))))))))))))))))))</f>
        <v xml:space="preserve"> </v>
      </c>
      <c r="I7" s="309"/>
      <c r="J7" s="309"/>
      <c r="K7" s="268"/>
      <c r="L7" s="268"/>
      <c r="M7" s="268"/>
      <c r="N7" s="269"/>
      <c r="O7" s="205"/>
      <c r="P7" s="206"/>
      <c r="R7" s="304" t="s">
        <v>67</v>
      </c>
      <c r="S7" s="305"/>
      <c r="T7" s="258">
        <f>IF(V2=TRUE,COUNTIF(C6:C23,"&lt;6"),COUNTIF(C9:C23,"&lt;6"))</f>
        <v>0</v>
      </c>
      <c r="U7" s="257" t="s">
        <v>7</v>
      </c>
      <c r="V7" s="182" t="b">
        <f>IF(B17&lt;&gt;"",TRUE,FALSE)</f>
        <v>0</v>
      </c>
      <c r="W7" s="184"/>
      <c r="Z7" s="186" t="b">
        <f>IF(O6="非自発該当",TRUE,FALSE)</f>
        <v>0</v>
      </c>
      <c r="AB7" s="185" t="s">
        <v>82</v>
      </c>
    </row>
    <row r="8" spans="1:31" ht="16.5" customHeight="1" thickBot="1">
      <c r="A8" s="144">
        <f>COUNTA(H8,B6)</f>
        <v>1</v>
      </c>
      <c r="B8" s="213"/>
      <c r="C8" s="214"/>
      <c r="D8" s="169" t="s">
        <v>43</v>
      </c>
      <c r="E8" s="242"/>
      <c r="F8" s="243"/>
      <c r="G8" s="244"/>
      <c r="H8" s="310"/>
      <c r="I8" s="311"/>
      <c r="J8" s="312"/>
      <c r="K8" s="270"/>
      <c r="L8" s="271"/>
      <c r="M8" s="271"/>
      <c r="N8" s="272"/>
      <c r="O8" s="207"/>
      <c r="P8" s="208"/>
      <c r="R8" s="304"/>
      <c r="S8" s="305"/>
      <c r="T8" s="259"/>
      <c r="U8" s="257"/>
      <c r="V8" s="182" t="b">
        <f>IF(B20&lt;&gt;"",TRUE,FALSE)</f>
        <v>0</v>
      </c>
      <c r="W8" s="184"/>
      <c r="AB8" s="185" t="s">
        <v>82</v>
      </c>
    </row>
    <row r="9" spans="1:31" ht="16.5" customHeight="1">
      <c r="A9" s="144">
        <f>COUNTA(E9,B9)</f>
        <v>0</v>
      </c>
      <c r="B9" s="215"/>
      <c r="C9" s="211"/>
      <c r="D9" s="168" t="s">
        <v>0</v>
      </c>
      <c r="E9" s="251"/>
      <c r="F9" s="252"/>
      <c r="G9" s="253"/>
      <c r="H9" s="249" t="str">
        <f>IF(AND(Z10=TRUE,E9&gt;0),0.3*IF(E9=0," ",IF(AND(E9=0,OR(A9=0,A9=1))," ",IF(E9&lt;650000,0,IF(E9&lt;1900000,E9-650000,IF(E9&lt;3600000,INT(E9/4000)*4000*0.7-80000,IF(E9&lt;6600000,INT(E9/4000)*4000*0.8-440000,IF(E9&lt;8500000,INT(E9*0.9-1100000),IF(E9&gt;=8500000,INT(E9-1950000))))))))),IF(E9=0," ",IF(AND(E9=0,OR(A9=0,A9=1))," ",IF(E9&lt;650000,0,IF(E9&lt;1900000,E9-650000,IF(E9&lt;3600000,INT(E9/4000)*4000*0.7-80000,IF(E9&lt;6600000,INT(E9/4000)*4000*0.8-440000,IF(E9&lt;8500000,INT(E9*0.9-1100000),IF(E9&gt;=8500000,INT(E9-1950000))))))))))</f>
        <v xml:space="preserve"> </v>
      </c>
      <c r="I9" s="250"/>
      <c r="J9" s="250"/>
      <c r="K9" s="273">
        <f>MAX(IF(SUM(V14,H11,V15)&gt;430000,SUM(V14,H11,V15)-430000,0)-IF(AND(V14&gt;0,V15&gt;0),IF(SUM(V14,V15)&gt;100000,(MIN(V14,100000)+MIN(V15,100000))-100000,0),0),0)</f>
        <v>0</v>
      </c>
      <c r="L9" s="273"/>
      <c r="M9" s="273"/>
      <c r="N9" s="274"/>
      <c r="O9" s="205"/>
      <c r="P9" s="206"/>
      <c r="R9" s="47"/>
      <c r="S9" s="46"/>
      <c r="T9" s="46"/>
      <c r="U9" s="124"/>
      <c r="V9" s="182" t="b">
        <f>IF(B23&lt;&gt;"",TRUE,FALSE)</f>
        <v>0</v>
      </c>
      <c r="W9" s="184"/>
      <c r="AB9" s="185"/>
    </row>
    <row r="10" spans="1:31" ht="16.5" customHeight="1" thickBot="1">
      <c r="A10" s="144">
        <f>COUNTA(E10,B9)</f>
        <v>0</v>
      </c>
      <c r="B10" s="216"/>
      <c r="C10" s="212"/>
      <c r="D10" s="152" t="s">
        <v>1</v>
      </c>
      <c r="E10" s="316"/>
      <c r="F10" s="317"/>
      <c r="G10" s="318"/>
      <c r="H10" s="313" t="str">
        <f>IF(E10=0," ",IF(AND($V$5=TRUE,E10&lt;600000),0,IF(AND($V$5=TRUE,E10&lt;1300000),E10-600000,IF(AND($V$5=TRUE,E10&lt;4100000),E10*0.75-275000,IF(AND($V$5=TRUE,E10&lt;7700000),E10*0.85-685000,IF(AND($V$5=TRUE,E10&lt;=10000000),E10*0.95-1455000,IF(AND($V$5=TRUE,E10&gt;10000000),E10*100%-1955000,IF(AND(C9&lt;65,E10&lt;600000),0,IF(AND(C9&lt;65,E10&lt;1300000),E10-600000,IF(AND(C9&lt;65,E10&lt;4100000),E10*0.75-275000,IF(AND(C9&lt;65,E10&lt;7700000),E10*0.85-685000,IF(AND(C9&lt;65,E10&lt;=10000000),E10*0.95-1455000,IF(AND(C9&lt;65,E10&gt;10000000),E10*100%-1955000,(IF(AND(C9&gt;=65,E10&lt;1100000),0,IF(AND(C9&gt;=65,E10&lt;3300000),E10-1100000,IF(AND(C9&gt;=65,E10&lt;4100000),E10*0.75-275000,IF(AND(C9&gt;=65,E10&lt;7700000),E10*0.85-685000,IF(AND(C9&gt;=65,E10&lt;=10000000),E10*0.95-1455000,IF(AND(C9&gt;=65,E10&gt;10000000),E10*100%-1955000))))))))))))))))))))</f>
        <v xml:space="preserve"> </v>
      </c>
      <c r="I10" s="314"/>
      <c r="J10" s="314"/>
      <c r="K10" s="275"/>
      <c r="L10" s="275"/>
      <c r="M10" s="275"/>
      <c r="N10" s="276"/>
      <c r="O10" s="205"/>
      <c r="P10" s="206"/>
      <c r="R10" s="304" t="s">
        <v>68</v>
      </c>
      <c r="S10" s="305"/>
      <c r="T10" s="260">
        <f>IF(V2=TRUE,COUNTIF(C6:C23,"&gt;=18"),COUNTIF(C9:C23,"&gt;=18"))</f>
        <v>0</v>
      </c>
      <c r="U10" s="257" t="s">
        <v>7</v>
      </c>
      <c r="V10" s="184"/>
      <c r="W10" s="184"/>
      <c r="Z10" s="186" t="b">
        <f>IF(O9="非自発該当",TRUE,FALSE)</f>
        <v>0</v>
      </c>
      <c r="AB10" s="185" t="s">
        <v>82</v>
      </c>
    </row>
    <row r="11" spans="1:31" ht="16.5" customHeight="1" thickBot="1">
      <c r="A11" s="144">
        <f>COUNTA(H11,B9)</f>
        <v>0</v>
      </c>
      <c r="B11" s="213"/>
      <c r="C11" s="214"/>
      <c r="D11" s="170" t="s">
        <v>43</v>
      </c>
      <c r="E11" s="233"/>
      <c r="F11" s="234"/>
      <c r="G11" s="235"/>
      <c r="H11" s="310"/>
      <c r="I11" s="311"/>
      <c r="J11" s="312"/>
      <c r="K11" s="277"/>
      <c r="L11" s="278"/>
      <c r="M11" s="278"/>
      <c r="N11" s="279"/>
      <c r="O11" s="205"/>
      <c r="P11" s="206"/>
      <c r="R11" s="304"/>
      <c r="S11" s="305"/>
      <c r="T11" s="261"/>
      <c r="U11" s="257"/>
      <c r="V11" s="187">
        <f>IF(H6=" ",0,H6)</f>
        <v>0</v>
      </c>
      <c r="W11" s="184"/>
      <c r="AB11" s="185" t="s">
        <v>82</v>
      </c>
    </row>
    <row r="12" spans="1:31" ht="16.5" customHeight="1">
      <c r="A12" s="144">
        <f>COUNTA(E12,B12)</f>
        <v>0</v>
      </c>
      <c r="B12" s="215"/>
      <c r="C12" s="211"/>
      <c r="D12" s="171" t="s">
        <v>0</v>
      </c>
      <c r="E12" s="319"/>
      <c r="F12" s="320"/>
      <c r="G12" s="321"/>
      <c r="H12" s="306" t="str">
        <f>IF(AND(Z13=TRUE,E12&gt;0),0.3*IF(E12=0," ",IF(AND(E12=0,OR(A12=0,A12=1))," ",IF(E12&lt;650000,0,IF(E12&lt;1900000,E12-650000,IF(E12&lt;3600000,INT(E12/4000)*4000*0.7-80000,IF(E12&lt;6600000,INT(E12/4000)*4000*0.8-440000,IF(E12&lt;8500000,INT(E12*0.9-1100000),IF(E12&gt;=8500000,INT(E12-1950000))))))))),IF(E12=0," ",IF(AND(E12=0,OR(A12=0,A12=1))," ",IF(E12&lt;650000,0,IF(E12&lt;1900000,E12-650000,IF(E12&lt;3600000,INT(E12/4000)*4000*0.7-80000,IF(E12&lt;6600000,INT(E12/4000)*4000*0.8-440000,IF(E12&lt;8500000,INT(E12*0.9-1100000),IF(E12&gt;=8500000,INT(E12-1950000))))))))))</f>
        <v xml:space="preserve"> </v>
      </c>
      <c r="I12" s="307"/>
      <c r="J12" s="307"/>
      <c r="K12" s="280">
        <f>MAX(IF(SUM(V17,H14,V18)&gt;430000,SUM(V17,H14,V18)-430000,0)-IF(AND(V17&gt;0,V18&gt;0),IF(SUM(V17,V18)&gt;100000,(MIN(V17,100000)+MIN(V18,100000))-100000,0),0),0)</f>
        <v>0</v>
      </c>
      <c r="L12" s="280"/>
      <c r="M12" s="280"/>
      <c r="N12" s="281"/>
      <c r="O12" s="203"/>
      <c r="P12" s="204"/>
      <c r="R12" s="1"/>
      <c r="S12" s="3"/>
      <c r="T12" s="32"/>
      <c r="U12" s="18"/>
      <c r="V12" s="188">
        <f>IF(H7=" ",0,H7)</f>
        <v>0</v>
      </c>
      <c r="AB12" s="185"/>
    </row>
    <row r="13" spans="1:31" ht="16.5" customHeight="1" thickBot="1">
      <c r="A13" s="144">
        <f t="shared" ref="A13:A22" si="0">COUNTA(E13,B12)</f>
        <v>0</v>
      </c>
      <c r="B13" s="216"/>
      <c r="C13" s="212"/>
      <c r="D13" s="153" t="s">
        <v>1</v>
      </c>
      <c r="E13" s="322"/>
      <c r="F13" s="323"/>
      <c r="G13" s="324"/>
      <c r="H13" s="308" t="str">
        <f>IF(E13=0," ",IF(AND($V$6=TRUE,E13&lt;600000),0,IF(AND($V$6=TRUE,E13&lt;1300000),E13-600000,IF(AND($V$6=TRUE,E13&lt;4100000),E13*0.75-275000,IF(AND($V$6=TRUE,E13&lt;7700000),E13*0.85-685000,IF(AND($V$6=TRUE,E13&lt;=10000000),E13*0.95-1455000,IF(AND($V$6=TRUE,E13&gt;10000000),E13*100%-1955000,IF(AND(C12&lt;65,E13&lt;600000),0,IF(AND(C12&lt;65,E13&lt;1300000),E13-600000,IF(AND(C12&lt;65,E13&lt;4100000),E13*0.75-275000,IF(AND(C12&lt;65,E13&lt;7700000),E13*0.85-685000,IF(AND(C12&lt;65,E13&lt;=10000000),E13*0.95-1455000,IF(AND(C12&lt;65,E13&gt;10000000),E13*100%-1955000,(IF(AND(C12&gt;=65,E13&lt;1100000),0,IF(AND(C12&gt;=65,E13&lt;3300000),E13-1100000,IF(AND(C12&gt;=65,E13&lt;4100000),E13*0.75-275000,IF(AND(C12&gt;=65,E13&lt;7700000),E13*0.85-685000,IF(AND(C12&gt;=65,E13&lt;=10000000),E13*0.95-1455000,IF(AND(C12&gt;=65,E13&gt;10000000),E13*100%-1955000))))))))))))))))))))</f>
        <v xml:space="preserve"> </v>
      </c>
      <c r="I13" s="309"/>
      <c r="J13" s="309"/>
      <c r="K13" s="268"/>
      <c r="L13" s="268"/>
      <c r="M13" s="268"/>
      <c r="N13" s="282"/>
      <c r="O13" s="205"/>
      <c r="P13" s="206"/>
      <c r="R13" s="329" t="s">
        <v>10</v>
      </c>
      <c r="S13" s="330"/>
      <c r="T13" s="331"/>
      <c r="U13" s="18"/>
      <c r="V13" s="189"/>
      <c r="Z13" s="186" t="b">
        <f>IF(O12="非自発該当",TRUE,FALSE)</f>
        <v>0</v>
      </c>
      <c r="AB13" s="185" t="s">
        <v>82</v>
      </c>
    </row>
    <row r="14" spans="1:31" ht="16.5" customHeight="1" thickBot="1">
      <c r="A14" s="144">
        <f>COUNTA(H14,B12)</f>
        <v>0</v>
      </c>
      <c r="B14" s="213"/>
      <c r="C14" s="214"/>
      <c r="D14" s="172" t="s">
        <v>43</v>
      </c>
      <c r="E14" s="242"/>
      <c r="F14" s="243"/>
      <c r="G14" s="244"/>
      <c r="H14" s="310"/>
      <c r="I14" s="311"/>
      <c r="J14" s="312"/>
      <c r="K14" s="283"/>
      <c r="L14" s="284"/>
      <c r="M14" s="284"/>
      <c r="N14" s="285"/>
      <c r="O14" s="207"/>
      <c r="P14" s="208"/>
      <c r="R14" s="332"/>
      <c r="S14" s="333"/>
      <c r="T14" s="334"/>
      <c r="U14" s="18"/>
      <c r="V14" s="189">
        <f>IF(H9=" ",0,H9)</f>
        <v>0</v>
      </c>
      <c r="AB14" s="185" t="s">
        <v>82</v>
      </c>
    </row>
    <row r="15" spans="1:31" ht="16.5" customHeight="1">
      <c r="A15" s="144">
        <f>COUNTA(E15,B15)</f>
        <v>0</v>
      </c>
      <c r="B15" s="215"/>
      <c r="C15" s="211"/>
      <c r="D15" s="173" t="s">
        <v>0</v>
      </c>
      <c r="E15" s="251"/>
      <c r="F15" s="252"/>
      <c r="G15" s="253"/>
      <c r="H15" s="249" t="str">
        <f>IF(AND(Z16=TRUE,E15&gt;0),0.3*IF(E15=0," ",IF(AND(E15=0,OR(A15=0,A15=1))," ",IF(E15&lt;650000,0,IF(E15&lt;1900000,E15-650000,IF(E15&lt;3600000,INT(E15/4000)*4000*0.7-80000,IF(E15&lt;6600000,INT(E15/4000)*4000*0.8-440000,IF(E15&lt;8500000,INT(E15*0.9-1100000),IF(E15&gt;=8500000,INT(E15-1950000))))))))),IF(E15=0," ",IF(AND(E15=0,OR(A15=0,A15=1))," ",IF(E15&lt;650000,0,IF(E15&lt;1900000,E15-650000,IF(E15&lt;3600000,INT(E15/4000)*4000*0.7-80000,IF(E15&lt;6600000,INT(E15/4000)*4000*0.8-440000,IF(E15&lt;8500000,INT(E15*0.9-1100000),IF(E15&gt;=8500000,INT(E15-1950000))))))))))</f>
        <v xml:space="preserve"> </v>
      </c>
      <c r="I15" s="250"/>
      <c r="J15" s="250"/>
      <c r="K15" s="273">
        <f>MAX(IF(SUM(V20,H17,V21)&gt;430000,SUM(V20,H17,V21)-430000,0)-IF(AND(V20&gt;0,V21&gt;0),IF(SUM(V20,V21)&gt;100000,(MIN(V20,100000)+MIN(V21,100000))-100000,0),0),0)</f>
        <v>0</v>
      </c>
      <c r="L15" s="273"/>
      <c r="M15" s="273"/>
      <c r="N15" s="274"/>
      <c r="O15" s="205"/>
      <c r="P15" s="206"/>
      <c r="R15" s="218">
        <f>IF(V2=TRUE,SUM(K6:N23),SUM(K9:N23))</f>
        <v>0</v>
      </c>
      <c r="S15" s="219"/>
      <c r="T15" s="220"/>
      <c r="U15" s="18"/>
      <c r="V15" s="189">
        <f>IF(H10=" ",0,H10)</f>
        <v>0</v>
      </c>
      <c r="AB15" s="185"/>
    </row>
    <row r="16" spans="1:31" ht="16.5" customHeight="1" thickBot="1">
      <c r="A16" s="144">
        <f t="shared" si="0"/>
        <v>0</v>
      </c>
      <c r="B16" s="216"/>
      <c r="C16" s="212"/>
      <c r="D16" s="152" t="s">
        <v>1</v>
      </c>
      <c r="E16" s="322"/>
      <c r="F16" s="323"/>
      <c r="G16" s="324"/>
      <c r="H16" s="313" t="str">
        <f>IF(E16=0," ",IF(AND($V$7=TRUE,E16&lt;600000),0,IF(AND($V$7=TRUE,E16&lt;1300000),E16-600000,IF(AND($V$7=TRUE,E16&lt;4100000),E16*0.75-275000,IF(AND($V$7=TRUE,E16&lt;7700000),E16*0.85-685000,IF(AND($V$7=TRUE,E16&lt;=10000000),E16*0.95-1455000,IF(AND($V$7=TRUE,E16&gt;10000000),E16*100%-1955000,IF(AND(C15&lt;65,E16&lt;600000),0,IF(AND(C15&lt;65,E16&lt;1300000),E16-600000,IF(AND(C15&lt;65,E16&lt;4100000),E16*0.75-275000,IF(AND(C15&lt;65,E16&lt;7700000),E16*0.85-685000,IF(AND(C15&lt;65,E16&lt;=10000000),E16*0.95-1455000,IF(AND(C15&lt;65,E16&gt;10000000),E16*100%-1955000,(IF(AND(C15&gt;=65,E16&lt;1100000),0,IF(AND(C15&gt;=65,E16&lt;3300000),E16-1100000,IF(AND(C15&gt;=65,E16&lt;4100000),E16*0.75-275000,IF(AND(C15&gt;=65,E16&lt;7700000),E16*0.85-685000,IF(AND(C15&gt;=65,E16&lt;=10000000),E16*0.95-1455000,IF(AND(C15&gt;=65,E16&gt;10000000),E16*100%-1955000))))))))))))))))))))</f>
        <v xml:space="preserve"> </v>
      </c>
      <c r="I16" s="314"/>
      <c r="J16" s="314"/>
      <c r="K16" s="275"/>
      <c r="L16" s="275"/>
      <c r="M16" s="275"/>
      <c r="N16" s="276"/>
      <c r="O16" s="205"/>
      <c r="P16" s="206"/>
      <c r="R16" s="221"/>
      <c r="S16" s="222"/>
      <c r="T16" s="223"/>
      <c r="U16" s="18"/>
      <c r="V16" s="189"/>
      <c r="Z16" s="186" t="b">
        <f>IF(O15="非自発該当",TRUE,FALSE)</f>
        <v>0</v>
      </c>
      <c r="AB16" s="185" t="s">
        <v>82</v>
      </c>
    </row>
    <row r="17" spans="1:36" ht="16.5" customHeight="1" thickBot="1">
      <c r="A17" s="144">
        <f>COUNTA(H17,B15)</f>
        <v>0</v>
      </c>
      <c r="B17" s="213"/>
      <c r="C17" s="214"/>
      <c r="D17" s="170" t="s">
        <v>43</v>
      </c>
      <c r="E17" s="233"/>
      <c r="F17" s="234"/>
      <c r="G17" s="235"/>
      <c r="H17" s="310"/>
      <c r="I17" s="311"/>
      <c r="J17" s="312"/>
      <c r="K17" s="286"/>
      <c r="L17" s="287"/>
      <c r="M17" s="287"/>
      <c r="N17" s="288"/>
      <c r="O17" s="205"/>
      <c r="P17" s="206"/>
      <c r="R17" s="18"/>
      <c r="S17" s="19"/>
      <c r="T17" s="18"/>
      <c r="U17" s="18"/>
      <c r="V17" s="189">
        <f>IF(H12=" ",0,H12)</f>
        <v>0</v>
      </c>
      <c r="AB17" s="185" t="s">
        <v>82</v>
      </c>
    </row>
    <row r="18" spans="1:36" ht="16.5" customHeight="1">
      <c r="A18" s="144">
        <f>COUNTA(E18,B18)</f>
        <v>0</v>
      </c>
      <c r="B18" s="215"/>
      <c r="C18" s="211"/>
      <c r="D18" s="171" t="s">
        <v>0</v>
      </c>
      <c r="E18" s="236"/>
      <c r="F18" s="237"/>
      <c r="G18" s="238"/>
      <c r="H18" s="306" t="str">
        <f>IF(AND(Z19=TRUE,E18&gt;0),0.3*IF(E18=0," ",IF(AND(E18=0,OR(A18=0,A18=1))," ",IF(E18&lt;650000,0,IF(E18&lt;1900000,E18-650000,IF(E18&lt;3600000,INT(E18/4000)*4000*0.7-80000,IF(E18&lt;6600000,INT(E18/4000)*4000*0.8-440000,IF(E18&lt;8500000,INT(E18*0.9-1100000),IF(E18&gt;=8500000,INT(E18-1950000))))))))),IF(E18=0," ",IF(AND(E18=0,OR(A18=0,A18=1))," ",IF(E18&lt;650000,0,IF(E18&lt;1900000,E18-650000,IF(E18&lt;3600000,INT(E18/4000)*4000*0.7-80000,IF(E18&lt;6600000,INT(E18/4000)*4000*0.8-440000,IF(E18&lt;8500000,INT(E18*0.9-1100000),IF(E18&gt;=8500000,INT(E18-1950000))))))))))</f>
        <v xml:space="preserve"> </v>
      </c>
      <c r="I18" s="307"/>
      <c r="J18" s="307"/>
      <c r="K18" s="280">
        <f>MAX(IF(SUM(V23,H20,V24)&gt;430000,SUM(V23,H20,V24)-430000,0)-IF(AND(V23&gt;0,V24&gt;0),IF(SUM(V23,V24)&gt;100000,(MIN(V23,100000)+MIN(V24,100000))-100000,0),0),0)</f>
        <v>0</v>
      </c>
      <c r="L18" s="280"/>
      <c r="M18" s="280"/>
      <c r="N18" s="281"/>
      <c r="O18" s="203"/>
      <c r="P18" s="204"/>
      <c r="U18" s="18"/>
      <c r="V18" s="189">
        <f>IF(H13=" ",0,H13)</f>
        <v>0</v>
      </c>
      <c r="AB18" s="185"/>
    </row>
    <row r="19" spans="1:36" ht="16.5" customHeight="1" thickBot="1">
      <c r="A19" s="144">
        <f t="shared" si="0"/>
        <v>0</v>
      </c>
      <c r="B19" s="216"/>
      <c r="C19" s="212"/>
      <c r="D19" s="153" t="s">
        <v>1</v>
      </c>
      <c r="E19" s="239"/>
      <c r="F19" s="240"/>
      <c r="G19" s="241"/>
      <c r="H19" s="308" t="str">
        <f>IF(E19=0," ",IF(AND($V$8=TRUE,E19&lt;600000),0,IF(AND($V$8=TRUE,E19&lt;1300000),E19-600000,IF(AND($V$8=TRUE,E19&lt;4100000),E19*0.75-275000,IF(AND($V$8=TRUE,E19&lt;7700000),E19*0.85-685000,IF(AND($V$8=TRUE,E19&lt;=10000000),E19*0.95-1455000,IF(AND($V$8=TRUE,E19&gt;10000000),E19*100%-1955000,IF(AND(C18&lt;65,E19&lt;600000),0,IF(AND(C18&lt;65,E19&lt;1300000),E19-600000,IF(AND(C18&lt;65,E19&lt;4100000),E19*0.75-275000,IF(AND(C18&lt;65,E19&lt;7700000),E19*0.85-685000,IF(AND(C18&lt;65,E19&lt;=10000000),E19*0.95-1455000,IF(AND(C18&lt;65,E19&gt;10000000),E19*100%-1955000,(IF(AND(C18&gt;=65,E19&lt;1100000),0,IF(AND(C18&gt;=65,E19&lt;3300000),E19-1100000,IF(AND(C18&gt;=65,E19&lt;4100000),E19*0.75-275000,IF(AND(C18&gt;=65,E19&lt;7700000),E19*0.85-685000,IF(AND(C18&gt;=65,E19&lt;=10000000),E19*0.95-1455000,IF(AND(C18&gt;=65,E19&gt;10000000),E19*100%-1955000))))))))))))))))))))</f>
        <v xml:space="preserve"> </v>
      </c>
      <c r="I19" s="309"/>
      <c r="J19" s="309"/>
      <c r="K19" s="268"/>
      <c r="L19" s="268"/>
      <c r="M19" s="268"/>
      <c r="N19" s="282"/>
      <c r="O19" s="205"/>
      <c r="P19" s="206"/>
      <c r="R19" s="351" t="s">
        <v>74</v>
      </c>
      <c r="S19" s="352"/>
      <c r="T19" s="353"/>
      <c r="U19" s="18"/>
      <c r="V19" s="189"/>
      <c r="Z19" s="186" t="b">
        <f>IF(O18="非自発該当",TRUE,FALSE)</f>
        <v>0</v>
      </c>
      <c r="AB19" s="185" t="s">
        <v>82</v>
      </c>
      <c r="AC19" s="190" t="s">
        <v>71</v>
      </c>
    </row>
    <row r="20" spans="1:36" ht="16.5" customHeight="1" thickBot="1">
      <c r="A20" s="144">
        <f>COUNTA(H20,B18)</f>
        <v>0</v>
      </c>
      <c r="B20" s="213"/>
      <c r="C20" s="214"/>
      <c r="D20" s="172" t="s">
        <v>43</v>
      </c>
      <c r="E20" s="242"/>
      <c r="F20" s="243"/>
      <c r="G20" s="244"/>
      <c r="H20" s="310"/>
      <c r="I20" s="311"/>
      <c r="J20" s="312"/>
      <c r="K20" s="283"/>
      <c r="L20" s="284"/>
      <c r="M20" s="284"/>
      <c r="N20" s="285"/>
      <c r="O20" s="207"/>
      <c r="P20" s="208"/>
      <c r="R20" s="354"/>
      <c r="S20" s="355"/>
      <c r="T20" s="356"/>
      <c r="U20" s="18"/>
      <c r="V20" s="189">
        <f>IF(H15=" ",0,H15)</f>
        <v>0</v>
      </c>
      <c r="AB20" s="185" t="s">
        <v>82</v>
      </c>
      <c r="AC20" s="190" t="s">
        <v>23</v>
      </c>
    </row>
    <row r="21" spans="1:36" s="5" customFormat="1" ht="16.5" customHeight="1">
      <c r="A21" s="145">
        <f>COUNTA(E21,B21)</f>
        <v>0</v>
      </c>
      <c r="B21" s="215"/>
      <c r="C21" s="211"/>
      <c r="D21" s="174" t="s">
        <v>0</v>
      </c>
      <c r="E21" s="245"/>
      <c r="F21" s="246"/>
      <c r="G21" s="247"/>
      <c r="H21" s="249" t="str">
        <f>IF(AND(Z22=TRUE,E21&gt;0),0.3*IF(E21=0," ",IF(AND(E21=0,OR(A21=0,A21=1))," ",IF(E21&lt;650000,0,IF(E21&lt;1900000,E21-650000,IF(E21&lt;3600000,INT(E21/4000)*4000*0.7-80000,IF(E21&lt;6600000,INT(E21/4000)*4000*0.8-440000,IF(E21&lt;8500000,INT(E21*0.9-1100000),IF(E21&gt;=8500000,INT(E21-1950000))))))))),IF(E21=0," ",IF(AND(E21=0,OR(A21=0,A21=1))," ",IF(E21&lt;650000,0,IF(E21&lt;1900000,E21-650000,IF(E21&lt;3600000,INT(E21/4000)*4000*0.7-80000,IF(E21&lt;6600000,INT(E21/4000)*4000*0.8-440000,IF(E21&lt;8500000,INT(E21*0.9-1100000),IF(E21&gt;=8500000,INT(E21-1950000))))))))))</f>
        <v xml:space="preserve"> </v>
      </c>
      <c r="I21" s="250"/>
      <c r="J21" s="250"/>
      <c r="K21" s="289">
        <f>MAX(IF(SUM(V25,H23,V27)&gt;430000,SUM(V25,H23,V27)-430000,0)-IF(AND(V25&gt;0,V27&gt;0),IF(SUM(V25,V27)&gt;100000,(MIN(V25,100000)+MIN(V27,100000))-100000,0),0),0)</f>
        <v>0</v>
      </c>
      <c r="L21" s="289"/>
      <c r="M21" s="289"/>
      <c r="N21" s="290"/>
      <c r="O21" s="205"/>
      <c r="P21" s="206"/>
      <c r="R21" s="345">
        <f>IF(V2=TRUE,SUMIF(C6:C23,"&lt;65",K6:N23)-SUMIF(C6:C23,"&lt;40",K6:N23),SUMIF(C9:C23,"&lt;65",K9:N23)-SUMIF(C9:C23,"&lt;40",K9:N23))</f>
        <v>0</v>
      </c>
      <c r="S21" s="346"/>
      <c r="T21" s="347"/>
      <c r="U21" s="26"/>
      <c r="V21" s="183">
        <f>IF(H16=" ",0,H16)</f>
        <v>0</v>
      </c>
      <c r="W21" s="183"/>
      <c r="X21" s="183"/>
      <c r="Y21" s="183"/>
      <c r="Z21" s="183"/>
      <c r="AA21" s="191"/>
      <c r="AB21" s="185"/>
      <c r="AC21" s="190" t="s">
        <v>22</v>
      </c>
      <c r="AD21" s="191"/>
      <c r="AE21" s="191"/>
      <c r="AF21" s="163"/>
      <c r="AG21" s="157"/>
      <c r="AH21" s="157"/>
      <c r="AI21" s="157"/>
      <c r="AJ21" s="157"/>
    </row>
    <row r="22" spans="1:36" ht="16.5" customHeight="1" thickBot="1">
      <c r="A22" s="144">
        <f t="shared" si="0"/>
        <v>0</v>
      </c>
      <c r="B22" s="216"/>
      <c r="C22" s="212"/>
      <c r="D22" s="152" t="s">
        <v>1</v>
      </c>
      <c r="E22" s="322"/>
      <c r="F22" s="323"/>
      <c r="G22" s="324"/>
      <c r="H22" s="313" t="str">
        <f>IF(E22=0," ",IF(AND($V$9=TRUE,E22&lt;600000),0,IF(AND($V$9=TRUE,E22&lt;1300000),E22-600000,IF(AND($V$9=TRUE,E22&lt;4100000),E22*0.75-275000,IF(AND($V$9=TRUE,E22&lt;7700000),E22*0.85-685000,IF(AND($V$9=TRUE,E22&lt;=10000000),E22*0.95-1455000,IF(AND($V$9=TRUE,E22&gt;10000000),E22*100%-1955000,IF(AND(C21&lt;65,E22&lt;600000),0,IF(AND(C21&lt;65,E22&lt;1300000),E22-600000,IF(AND(C21&lt;65,E22&lt;4100000),E22*0.75-275000,IF(AND(C21&lt;65,E22&lt;7700000),E22*0.85-685000,IF(AND(C21&lt;65,E22&lt;=10000000),E22*0.95-1455000,IF(AND(C21&lt;65,E22&gt;10000000),E22*100%-1955000,(IF(AND(C21&gt;=65,E22&lt;1100000),0,IF(AND(C21&gt;=65,E22&lt;3300000),E22-1100000,IF(AND(C21&gt;=65,E22&lt;4100000),E22*0.75-275000,IF(AND(C21&gt;=65,E22&lt;7700000),E22*0.85-685000,IF(AND(C21&gt;=65,E22&lt;=10000000),E22*0.95-1455000,IF(AND(C21&gt;=65,E22&gt;10000000),E22*100%-1955000))))))))))))))))))))</f>
        <v xml:space="preserve"> </v>
      </c>
      <c r="I22" s="314"/>
      <c r="J22" s="314"/>
      <c r="K22" s="275"/>
      <c r="L22" s="275"/>
      <c r="M22" s="275"/>
      <c r="N22" s="276"/>
      <c r="O22" s="205"/>
      <c r="P22" s="206"/>
      <c r="R22" s="348"/>
      <c r="S22" s="349"/>
      <c r="T22" s="350"/>
      <c r="U22" s="18"/>
      <c r="V22" s="189"/>
      <c r="Z22" s="186" t="b">
        <f>IF(O21="非自発該当",TRUE,FALSE)</f>
        <v>0</v>
      </c>
      <c r="AB22" s="185" t="s">
        <v>82</v>
      </c>
    </row>
    <row r="23" spans="1:36" ht="16.5" customHeight="1" thickBot="1">
      <c r="A23" s="144">
        <f>COUNTA(H23,B21)</f>
        <v>0</v>
      </c>
      <c r="B23" s="213"/>
      <c r="C23" s="214"/>
      <c r="D23" s="175" t="s">
        <v>2</v>
      </c>
      <c r="E23" s="325"/>
      <c r="F23" s="326"/>
      <c r="G23" s="327"/>
      <c r="H23" s="328"/>
      <c r="I23" s="311"/>
      <c r="J23" s="312"/>
      <c r="K23" s="286"/>
      <c r="L23" s="287"/>
      <c r="M23" s="287"/>
      <c r="N23" s="288"/>
      <c r="O23" s="207"/>
      <c r="P23" s="208"/>
      <c r="Q23" s="159"/>
      <c r="R23" s="18"/>
      <c r="S23" s="19"/>
      <c r="T23" s="18"/>
      <c r="U23" s="18"/>
      <c r="V23" s="189">
        <f>IF(H18=" ",0,H18)</f>
        <v>0</v>
      </c>
      <c r="AB23" s="185" t="s">
        <v>82</v>
      </c>
    </row>
    <row r="24" spans="1:36" ht="16.5" customHeight="1">
      <c r="A24" s="141"/>
      <c r="B24" s="66" t="s">
        <v>48</v>
      </c>
      <c r="C24" s="27"/>
      <c r="D24" s="176"/>
      <c r="E24" s="29"/>
      <c r="F24" s="30"/>
      <c r="G24" s="30"/>
      <c r="H24" s="30"/>
      <c r="I24" s="31"/>
      <c r="J24" s="31"/>
      <c r="L24" s="159"/>
      <c r="N24" s="125"/>
      <c r="O24" s="166" t="s">
        <v>85</v>
      </c>
      <c r="P24" s="300">
        <f>IF(OR(V28=TRUE,V3=TRUE),"判定なし",
IF(軽減所得!I7&lt;=1,軽減早見表!C5,
IF(AND(T1=1,軽減所得!I7=2),軽減早見表!C6,
IF(AND(T1=2,軽減所得!I7=2),軽減早見表!D6,
IF(AND(T1=2,軽減所得!I7=3),軽減早見表!D7,
IF(AND(T1=3,軽減所得!I7=2),軽減早見表!E6,
IF(AND(T1=3,軽減所得!I7=3),軽減早見表!E7,
IF(AND(T1=3,軽減所得!I7=4),軽減早見表!E8,
IF(AND(T1=4,軽減所得!I7=2),軽減早見表!F6,
IF(AND(T1=4,軽減所得!I7=3),軽減早見表!F7,
IF(AND(T1=4,軽減所得!I7=4),軽減早見表!F8,
IF(AND(T1=4,軽減所得!I7=5),軽減早見表!F9,
IF(AND(T1=5,軽減所得!I7=2),軽減早見表!G6,
IF(AND(T1=5,軽減所得!I7=3),軽減早見表!G7,
IF(AND(T1=5,軽減所得!I7=4),軽減早見表!G8,
IF(AND(T1=5,軽減所得!I7=5),軽減早見表!G9,
IF(AND(T1=5,軽減所得!I7=6),軽減早見表!G10,
IF(AND(T1=6,軽減所得!I7=2),軽減早見表!H6,
IF(AND(T1=6,軽減所得!I7=3),軽減早見表!H7,
IF(AND(T1=6,軽減所得!I7=4),軽減早見表!H8,
IF(AND(T1=6,軽減所得!I7=5),軽減早見表!H9,
IF(AND(T1=6,軽減所得!I7=6),軽減早見表!H10, "エラー"))))))))))))))))))))))</f>
        <v>430000</v>
      </c>
      <c r="Q24" s="300"/>
      <c r="R24" s="291" t="s">
        <v>25</v>
      </c>
      <c r="S24" s="292"/>
      <c r="T24" s="293"/>
      <c r="U24" s="18"/>
      <c r="V24" s="189">
        <f>IF(H19=" ",0,H19)</f>
        <v>0</v>
      </c>
    </row>
    <row r="25" spans="1:36" ht="15" customHeight="1">
      <c r="A25" s="39"/>
      <c r="B25" s="2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127"/>
      <c r="O25" s="136" t="s">
        <v>84</v>
      </c>
      <c r="P25" s="301" t="str">
        <f>IF(OR(V28=TRUE,V3=TRUE),"判定なし",
IF(AND(T1=1,軽減所得!I7&lt;=1),軽減早見表!C19,
IF(AND(T1=1,軽減所得!I7=2),軽減早見表!C20,
IF(AND(T1=2,軽減所得!I7&lt;=1),軽減早見表!D19,
IF(AND(T1=2,軽減所得!I7=2),軽減早見表!D20,
IF(AND(T1=2,軽減所得!I7=3),軽減早見表!D21,
IF(AND(T1=3,軽減所得!I7&lt;=1),軽減早見表!E19,
IF(AND(T1=3,軽減所得!I7=2),軽減早見表!E20,
IF(AND(T1=3,軽減所得!I7=3),軽減早見表!E21,
IF(AND(T1=3,軽減所得!I7=4),軽減早見表!E22,
IF(AND(T1=4,軽減所得!I7&lt;=1),軽減早見表!F19,
IF(AND(T1=4,軽減所得!I7=2),軽減早見表!F20,
IF(AND(T1=4,軽減所得!I7=3),軽減早見表!F21,
IF(AND(T1=4,軽減所得!I7=4),軽減早見表!F22,
IF(AND(T1=4,軽減所得!I7=5),軽減早見表!F23,
IF(AND(T1=5,軽減所得!I7&lt;=1),軽減早見表!G19,
IF(AND(T1=5,軽減所得!I7=2),軽減早見表!G20,
IF(AND(T1=5,軽減所得!I7=3),軽減早見表!G21,
IF(AND(T1=5,軽減所得!I7=4),軽減早見表!G22,
IF(AND(T1=5,軽減所得!I7=5),軽減早見表!G23,
IF(AND(T1=5,軽減所得!I7=6),軽減早見表!G24,
IF(AND(T1=6,軽減所得!I7&lt;=1),軽減早見表!H19,
IF(AND(T1=6,軽減所得!I7=2),軽減早見表!H20,
IF(AND(T1=6,軽減所得!I7=3),軽減早見表!H21,
IF(AND(T1=6,軽減所得!I7=4),軽減早見表!H22,
IF(AND(T1=6,軽減所得!I7=5),軽減早見表!H23,
IF(AND(T1=6,軽減所得!I7=6),軽減早見表!H24,"エラー")))))))))))))))))))))))))))</f>
        <v>エラー</v>
      </c>
      <c r="Q25" s="301"/>
      <c r="R25" s="294">
        <f>IF(V3=FALSE,SUMIF(軽減所得!G3:G19,"&gt;0",軽減所得!G3:G20),"不明")</f>
        <v>0</v>
      </c>
      <c r="S25" s="295"/>
      <c r="T25" s="296"/>
      <c r="V25" s="183">
        <f>IF(H21=" ",0,H21)</f>
        <v>0</v>
      </c>
      <c r="W25" s="179"/>
      <c r="Z25" s="192"/>
    </row>
    <row r="26" spans="1:36" s="18" customFormat="1" ht="14.25" customHeight="1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128"/>
      <c r="O26" s="167" t="s">
        <v>83</v>
      </c>
      <c r="P26" s="302" t="str">
        <f>IF(OR(V28=TRUE,V3=TRUE),"判定なし",
IF(AND(T1=1,軽減所得!I7&lt;=1),軽減早見表!C33,
IF(AND(T1=1,軽減所得!I7=2),軽減早見表!C34,
IF(AND(T1=2,軽減所得!I7&lt;=1),軽減早見表!D33,
IF(AND(T1=2,軽減所得!I7=2),軽減早見表!D34,
IF(AND(T1=2,軽減所得!I7=3),軽減早見表!D35,
IF(AND(T1=3,軽減所得!I7&lt;=1),軽減早見表!E33,
IF(AND(T1=3,軽減所得!I7=2),軽減早見表!E34,
IF(AND(T1=3,軽減所得!I7=3),軽減早見表!E35,
IF(AND(T1=3,軽減所得!I7=4),軽減早見表!E36,
IF(AND(T1=4,軽減所得!I7&lt;=1),軽減早見表!F33,
IF(AND(T1=4,軽減所得!I7=2),軽減早見表!F34,
IF(AND(T1=4,軽減所得!I7=3),軽減早見表!F35,
IF(AND(T1=4,軽減所得!I7=4),軽減早見表!F36,
IF(AND(T1=4,軽減所得!I7=5),軽減早見表!F37,
IF(AND(T1=5,軽減所得!I7&lt;=1),軽減早見表!G33,
IF(AND(T1=5,軽減所得!I7=2),軽減早見表!G34,
IF(AND(T1=5,軽減所得!I7=3),軽減早見表!G35,
IF(AND(T1=5,軽減所得!I7=4),軽減早見表!G36,
IF(AND(T1=5,軽減所得!I7=5),軽減早見表!G37,
IF(AND(T1=5,軽減所得!I7=6),軽減早見表!G38,
IF(AND(T1=6,軽減所得!I7&lt;=1),軽減早見表!H33,
IF(AND(T1=6,軽減所得!I7=2),軽減早見表!H34,
IF(AND(T1=6,軽減所得!I7=3),軽減早見表!H35,
IF(AND(T1=6,軽減所得!I7=4),軽減早見表!H36,
IF(AND(T1=6,軽減所得!I7=5),軽減早見表!H37,
IF(AND(T1=6,軽減所得!I7=6),軽減早見表!H38,"エラー")))))))))))))))))))))))))))</f>
        <v>エラー</v>
      </c>
      <c r="Q26" s="302"/>
      <c r="R26" s="297"/>
      <c r="S26" s="298"/>
      <c r="T26" s="299"/>
      <c r="V26" s="183"/>
      <c r="W26" s="179"/>
      <c r="X26" s="180"/>
      <c r="Y26" s="180"/>
      <c r="Z26" s="193"/>
      <c r="AA26" s="180"/>
      <c r="AB26" s="180"/>
      <c r="AC26" s="180"/>
      <c r="AD26" s="180"/>
      <c r="AE26" s="180"/>
      <c r="AF26" s="160"/>
      <c r="AG26" s="155"/>
      <c r="AH26" s="155"/>
      <c r="AI26" s="155"/>
      <c r="AJ26" s="155"/>
    </row>
    <row r="27" spans="1:36" ht="15.75" hidden="1" customHeight="1">
      <c r="B27" s="64"/>
      <c r="C27" s="65"/>
      <c r="D27" s="14"/>
      <c r="E27" s="14"/>
      <c r="F27" s="20"/>
      <c r="G27" s="21"/>
      <c r="H27" s="22"/>
      <c r="I27" s="22"/>
      <c r="J27" s="22"/>
      <c r="K27" s="22"/>
      <c r="L27" s="22"/>
      <c r="M27" s="23" t="s">
        <v>19</v>
      </c>
      <c r="N27" s="126"/>
      <c r="O27" s="126"/>
      <c r="P27" s="126"/>
      <c r="U27" s="19"/>
      <c r="V27" s="183">
        <f>IF(H22=" ",0,H22)</f>
        <v>0</v>
      </c>
      <c r="W27" s="179"/>
    </row>
    <row r="28" spans="1:36" s="4" customFormat="1" ht="15.75" hidden="1" customHeight="1">
      <c r="B28" s="64"/>
      <c r="C28" s="65"/>
      <c r="D28" s="14"/>
      <c r="E28" s="14"/>
      <c r="F28" s="20"/>
      <c r="G28" s="24"/>
      <c r="H28" s="14"/>
      <c r="I28" s="14"/>
      <c r="J28" s="14"/>
      <c r="K28" s="14"/>
      <c r="L28" s="15"/>
      <c r="M28" s="16" t="s">
        <v>23</v>
      </c>
      <c r="N28" s="130"/>
      <c r="O28" s="131"/>
      <c r="P28" s="131"/>
      <c r="U28" s="14"/>
      <c r="V28" s="194" t="b">
        <v>0</v>
      </c>
      <c r="W28" s="195"/>
      <c r="X28" s="196"/>
      <c r="Y28" s="195"/>
      <c r="Z28" s="197"/>
      <c r="AA28" s="198"/>
      <c r="AB28" s="198"/>
      <c r="AC28" s="198"/>
      <c r="AD28" s="198"/>
      <c r="AE28" s="198"/>
      <c r="AF28" s="165"/>
      <c r="AG28" s="158"/>
      <c r="AH28" s="158"/>
      <c r="AI28" s="158"/>
      <c r="AJ28" s="158"/>
    </row>
    <row r="29" spans="1:36" s="4" customFormat="1" ht="15.75" hidden="1" customHeight="1">
      <c r="M29" s="15"/>
      <c r="N29" s="132"/>
      <c r="O29" s="133"/>
      <c r="P29" s="133"/>
      <c r="U29" s="20"/>
      <c r="V29" s="194" t="b">
        <v>0</v>
      </c>
      <c r="W29" s="196"/>
      <c r="X29" s="195"/>
      <c r="Y29" s="195"/>
      <c r="Z29" s="195"/>
      <c r="AA29" s="198"/>
      <c r="AB29" s="198"/>
      <c r="AC29" s="198"/>
      <c r="AD29" s="198"/>
      <c r="AE29" s="198"/>
      <c r="AF29" s="165"/>
      <c r="AG29" s="158"/>
      <c r="AH29" s="158"/>
      <c r="AI29" s="158"/>
      <c r="AJ29" s="158"/>
    </row>
    <row r="30" spans="1:36" ht="18.75" customHeight="1">
      <c r="A30" s="248" t="s">
        <v>86</v>
      </c>
      <c r="B30" s="248"/>
      <c r="C30" s="248"/>
      <c r="D30" s="248"/>
      <c r="E30" s="17"/>
      <c r="F30" s="17"/>
      <c r="G30" s="17"/>
      <c r="H30" s="17"/>
      <c r="I30" s="17"/>
      <c r="J30" s="17"/>
      <c r="K30" s="18"/>
      <c r="L30" s="18"/>
      <c r="M30" s="19"/>
      <c r="N30" s="126"/>
      <c r="O30" s="126"/>
      <c r="P30" s="126"/>
      <c r="Q30" s="129"/>
      <c r="R30" s="18"/>
      <c r="S30" s="19"/>
      <c r="T30" s="18"/>
      <c r="U30" s="19"/>
      <c r="V30" s="180"/>
      <c r="W30" s="179"/>
    </row>
    <row r="31" spans="1:36" s="4" customFormat="1" ht="16.5" customHeight="1">
      <c r="A31" s="41"/>
      <c r="B31" s="88" t="s">
        <v>96</v>
      </c>
      <c r="C31" s="89"/>
      <c r="D31" s="89"/>
      <c r="E31" s="90"/>
      <c r="F31" s="44"/>
      <c r="G31" s="88" t="s">
        <v>94</v>
      </c>
      <c r="H31" s="89"/>
      <c r="I31" s="89"/>
      <c r="J31" s="90"/>
      <c r="K31" s="44"/>
      <c r="L31" s="88" t="s">
        <v>93</v>
      </c>
      <c r="M31" s="89"/>
      <c r="N31" s="89"/>
      <c r="O31" s="90"/>
      <c r="P31" s="44"/>
      <c r="Q31" s="88" t="s">
        <v>92</v>
      </c>
      <c r="R31" s="89"/>
      <c r="S31" s="89"/>
      <c r="T31" s="90"/>
      <c r="U31" s="14"/>
      <c r="V31" s="195"/>
      <c r="W31" s="195"/>
      <c r="X31" s="195"/>
      <c r="Y31" s="195"/>
      <c r="Z31" s="195"/>
      <c r="AA31" s="198"/>
      <c r="AB31" s="198"/>
      <c r="AC31" s="198"/>
      <c r="AD31" s="198"/>
      <c r="AE31" s="198"/>
      <c r="AF31" s="165"/>
      <c r="AG31" s="158"/>
      <c r="AH31" s="158"/>
      <c r="AI31" s="158"/>
      <c r="AJ31" s="158"/>
    </row>
    <row r="32" spans="1:36" s="4" customFormat="1" ht="14.25" customHeight="1">
      <c r="A32" s="41"/>
      <c r="B32" s="91" t="s">
        <v>16</v>
      </c>
      <c r="C32" s="86"/>
      <c r="D32" s="86"/>
      <c r="E32" s="92"/>
      <c r="F32" s="44"/>
      <c r="G32" s="105" t="s">
        <v>51</v>
      </c>
      <c r="H32" s="86"/>
      <c r="I32" s="86"/>
      <c r="J32" s="92"/>
      <c r="K32" s="44"/>
      <c r="L32" s="91" t="s">
        <v>16</v>
      </c>
      <c r="M32" s="86"/>
      <c r="N32" s="86"/>
      <c r="O32" s="92"/>
      <c r="P32" s="44"/>
      <c r="Q32" s="91" t="s">
        <v>16</v>
      </c>
      <c r="R32" s="86"/>
      <c r="S32" s="86"/>
      <c r="T32" s="92"/>
      <c r="U32" s="14"/>
      <c r="V32" s="195"/>
      <c r="W32" s="195"/>
      <c r="X32" s="195"/>
      <c r="Y32" s="195"/>
      <c r="Z32" s="195"/>
      <c r="AA32" s="198"/>
      <c r="AB32" s="198"/>
      <c r="AC32" s="198"/>
      <c r="AD32" s="198"/>
      <c r="AE32" s="198"/>
      <c r="AF32" s="165"/>
      <c r="AG32" s="158"/>
      <c r="AH32" s="158"/>
      <c r="AI32" s="158"/>
      <c r="AJ32" s="158"/>
    </row>
    <row r="33" spans="1:36" s="4" customFormat="1" ht="4.5" customHeight="1">
      <c r="A33" s="41"/>
      <c r="B33" s="93"/>
      <c r="C33" s="49"/>
      <c r="D33" s="49"/>
      <c r="E33" s="94"/>
      <c r="F33" s="50"/>
      <c r="G33" s="93"/>
      <c r="H33" s="49"/>
      <c r="I33" s="49"/>
      <c r="J33" s="94"/>
      <c r="K33" s="50"/>
      <c r="L33" s="93"/>
      <c r="M33" s="49"/>
      <c r="N33" s="49"/>
      <c r="O33" s="94"/>
      <c r="P33" s="50"/>
      <c r="Q33" s="93"/>
      <c r="R33" s="49"/>
      <c r="S33" s="49"/>
      <c r="T33" s="94"/>
      <c r="U33" s="14"/>
      <c r="V33" s="195"/>
      <c r="W33" s="195"/>
      <c r="X33" s="195"/>
      <c r="Y33" s="195"/>
      <c r="Z33" s="195"/>
      <c r="AA33" s="198"/>
      <c r="AB33" s="198"/>
      <c r="AC33" s="198"/>
      <c r="AD33" s="198"/>
      <c r="AE33" s="198"/>
      <c r="AF33" s="165"/>
      <c r="AG33" s="158"/>
      <c r="AH33" s="158"/>
      <c r="AI33" s="158"/>
      <c r="AJ33" s="158"/>
    </row>
    <row r="34" spans="1:36" s="4" customFormat="1" ht="15" customHeight="1">
      <c r="A34" s="41"/>
      <c r="B34" s="95" t="s">
        <v>11</v>
      </c>
      <c r="C34" s="49"/>
      <c r="D34" s="49"/>
      <c r="E34" s="94"/>
      <c r="F34" s="50"/>
      <c r="G34" s="95" t="s">
        <v>11</v>
      </c>
      <c r="H34" s="49"/>
      <c r="I34" s="49"/>
      <c r="J34" s="94"/>
      <c r="K34" s="50"/>
      <c r="L34" s="95" t="s">
        <v>11</v>
      </c>
      <c r="M34" s="49"/>
      <c r="N34" s="49"/>
      <c r="O34" s="94"/>
      <c r="P34" s="50"/>
      <c r="Q34" s="95" t="s">
        <v>11</v>
      </c>
      <c r="R34" s="49"/>
      <c r="S34" s="49"/>
      <c r="T34" s="94"/>
      <c r="U34" s="14"/>
      <c r="V34" s="195"/>
      <c r="W34" s="195"/>
      <c r="X34" s="195"/>
      <c r="Y34" s="195"/>
      <c r="Z34" s="195"/>
      <c r="AA34" s="198"/>
      <c r="AB34" s="198"/>
      <c r="AC34" s="198"/>
      <c r="AD34" s="198"/>
      <c r="AE34" s="198"/>
      <c r="AF34" s="165"/>
      <c r="AG34" s="158"/>
      <c r="AH34" s="158"/>
      <c r="AI34" s="158"/>
      <c r="AJ34" s="158"/>
    </row>
    <row r="35" spans="1:36" s="4" customFormat="1" ht="15" customHeight="1">
      <c r="A35" s="41"/>
      <c r="B35" s="303">
        <f>R15</f>
        <v>0</v>
      </c>
      <c r="C35" s="229"/>
      <c r="D35" s="230" t="s">
        <v>57</v>
      </c>
      <c r="E35" s="231"/>
      <c r="F35" s="51"/>
      <c r="G35" s="303">
        <f>R21</f>
        <v>0</v>
      </c>
      <c r="H35" s="229"/>
      <c r="I35" s="230" t="s">
        <v>58</v>
      </c>
      <c r="J35" s="231"/>
      <c r="K35" s="50"/>
      <c r="L35" s="303">
        <f>B35</f>
        <v>0</v>
      </c>
      <c r="M35" s="229"/>
      <c r="N35" s="230" t="s">
        <v>59</v>
      </c>
      <c r="O35" s="231"/>
      <c r="P35" s="50"/>
      <c r="Q35" s="303">
        <f>B35</f>
        <v>0</v>
      </c>
      <c r="R35" s="229"/>
      <c r="S35" s="230" t="s">
        <v>60</v>
      </c>
      <c r="T35" s="231"/>
      <c r="V35" s="195"/>
      <c r="W35" s="195"/>
      <c r="X35" s="195"/>
      <c r="Y35" s="195"/>
      <c r="Z35" s="195"/>
      <c r="AA35" s="198"/>
      <c r="AB35" s="198"/>
      <c r="AC35" s="198"/>
      <c r="AD35" s="198"/>
      <c r="AE35" s="198"/>
      <c r="AF35" s="165"/>
      <c r="AG35" s="158"/>
      <c r="AH35" s="158"/>
      <c r="AI35" s="158"/>
      <c r="AJ35" s="158"/>
    </row>
    <row r="36" spans="1:36" s="4" customFormat="1" ht="18" customHeight="1">
      <c r="A36" s="41"/>
      <c r="B36" s="96" t="s">
        <v>36</v>
      </c>
      <c r="C36" s="232">
        <f>ROUNDDOWN(B35*0.07,0)</f>
        <v>0</v>
      </c>
      <c r="D36" s="232"/>
      <c r="E36" s="94" t="s">
        <v>5</v>
      </c>
      <c r="F36" s="51"/>
      <c r="G36" s="96" t="s">
        <v>36</v>
      </c>
      <c r="H36" s="232">
        <f>ROUNDDOWN(G35*0.0271,0)</f>
        <v>0</v>
      </c>
      <c r="I36" s="232"/>
      <c r="J36" s="94" t="s">
        <v>5</v>
      </c>
      <c r="K36" s="50"/>
      <c r="L36" s="96" t="s">
        <v>36</v>
      </c>
      <c r="M36" s="232">
        <f>ROUNDDOWN(L35*0.0301,0)</f>
        <v>0</v>
      </c>
      <c r="N36" s="232"/>
      <c r="O36" s="94" t="s">
        <v>5</v>
      </c>
      <c r="P36" s="50"/>
      <c r="Q36" s="96" t="s">
        <v>36</v>
      </c>
      <c r="R36" s="232">
        <f>ROUNDDOWN(Q35*0.0029,0)</f>
        <v>0</v>
      </c>
      <c r="S36" s="232"/>
      <c r="T36" s="94" t="s">
        <v>5</v>
      </c>
      <c r="V36" s="195"/>
      <c r="W36" s="195"/>
      <c r="X36" s="195"/>
      <c r="Y36" s="195"/>
      <c r="Z36" s="195"/>
      <c r="AA36" s="198"/>
      <c r="AB36" s="198"/>
      <c r="AC36" s="198"/>
      <c r="AD36" s="198"/>
      <c r="AE36" s="198"/>
      <c r="AF36" s="165"/>
      <c r="AG36" s="158"/>
      <c r="AH36" s="158"/>
      <c r="AI36" s="158"/>
      <c r="AJ36" s="158"/>
    </row>
    <row r="37" spans="1:36" s="4" customFormat="1" ht="8.25" customHeight="1">
      <c r="A37" s="41"/>
      <c r="B37" s="99"/>
      <c r="C37" s="52"/>
      <c r="D37" s="52"/>
      <c r="E37" s="94"/>
      <c r="F37" s="51"/>
      <c r="G37" s="99"/>
      <c r="H37" s="52"/>
      <c r="I37" s="52"/>
      <c r="J37" s="94"/>
      <c r="K37" s="50"/>
      <c r="L37" s="99"/>
      <c r="M37" s="52"/>
      <c r="N37" s="52"/>
      <c r="O37" s="94"/>
      <c r="P37" s="50"/>
      <c r="Q37" s="121"/>
      <c r="R37" s="38"/>
      <c r="S37" s="38"/>
      <c r="T37" s="122"/>
      <c r="V37" s="195"/>
      <c r="W37" s="195"/>
      <c r="X37" s="195"/>
      <c r="Y37" s="195"/>
      <c r="Z37" s="195"/>
      <c r="AA37" s="198"/>
      <c r="AB37" s="198"/>
      <c r="AC37" s="198"/>
      <c r="AD37" s="198"/>
      <c r="AE37" s="198"/>
      <c r="AF37" s="165"/>
      <c r="AG37" s="158"/>
      <c r="AH37" s="158"/>
      <c r="AI37" s="158"/>
      <c r="AJ37" s="158"/>
    </row>
    <row r="38" spans="1:36" s="4" customFormat="1" ht="15" customHeight="1">
      <c r="A38" s="41"/>
      <c r="B38" s="97" t="s">
        <v>12</v>
      </c>
      <c r="C38" s="53"/>
      <c r="D38" s="53"/>
      <c r="E38" s="98"/>
      <c r="F38" s="51"/>
      <c r="G38" s="97" t="s">
        <v>12</v>
      </c>
      <c r="H38" s="53"/>
      <c r="I38" s="53"/>
      <c r="J38" s="98"/>
      <c r="K38" s="50"/>
      <c r="L38" s="97" t="s">
        <v>12</v>
      </c>
      <c r="M38" s="53"/>
      <c r="N38" s="53"/>
      <c r="O38" s="98"/>
      <c r="P38" s="50"/>
      <c r="Q38" s="97" t="s">
        <v>70</v>
      </c>
      <c r="R38" s="53"/>
      <c r="S38" s="53"/>
      <c r="T38" s="98"/>
      <c r="V38" s="195"/>
      <c r="W38" s="195"/>
      <c r="X38" s="195"/>
      <c r="Y38" s="195"/>
      <c r="Z38" s="195"/>
      <c r="AA38" s="198"/>
      <c r="AB38" s="198"/>
      <c r="AC38" s="198"/>
      <c r="AD38" s="198"/>
      <c r="AE38" s="198"/>
      <c r="AF38" s="165"/>
      <c r="AG38" s="158"/>
      <c r="AH38" s="158"/>
      <c r="AI38" s="158"/>
      <c r="AJ38" s="158"/>
    </row>
    <row r="39" spans="1:36" s="4" customFormat="1" ht="15" customHeight="1">
      <c r="A39" s="41"/>
      <c r="B39" s="262" t="s">
        <v>45</v>
      </c>
      <c r="C39" s="263"/>
      <c r="D39" s="57">
        <f>T1</f>
        <v>0</v>
      </c>
      <c r="E39" s="94" t="s">
        <v>6</v>
      </c>
      <c r="F39" s="51"/>
      <c r="G39" s="262" t="s">
        <v>46</v>
      </c>
      <c r="H39" s="263"/>
      <c r="I39" s="57">
        <f>T4</f>
        <v>0</v>
      </c>
      <c r="J39" s="94" t="s">
        <v>6</v>
      </c>
      <c r="K39" s="50"/>
      <c r="L39" s="262" t="s">
        <v>47</v>
      </c>
      <c r="M39" s="263"/>
      <c r="N39" s="57">
        <f>T1</f>
        <v>0</v>
      </c>
      <c r="O39" s="94" t="s">
        <v>6</v>
      </c>
      <c r="P39" s="50"/>
      <c r="Q39" s="262" t="s">
        <v>63</v>
      </c>
      <c r="R39" s="263"/>
      <c r="S39" s="57">
        <f>T10</f>
        <v>0</v>
      </c>
      <c r="T39" s="94" t="s">
        <v>6</v>
      </c>
      <c r="U39" s="14"/>
      <c r="V39" s="195"/>
      <c r="W39" s="195"/>
      <c r="X39" s="195"/>
      <c r="Y39" s="195"/>
      <c r="Z39" s="195"/>
      <c r="AA39" s="198"/>
      <c r="AB39" s="198"/>
      <c r="AC39" s="198"/>
      <c r="AD39" s="198"/>
      <c r="AE39" s="198"/>
      <c r="AF39" s="165"/>
      <c r="AG39" s="158"/>
      <c r="AH39" s="158"/>
      <c r="AI39" s="158"/>
      <c r="AJ39" s="158"/>
    </row>
    <row r="40" spans="1:36" s="4" customFormat="1" ht="15" customHeight="1">
      <c r="A40" s="41"/>
      <c r="B40" s="96" t="s">
        <v>36</v>
      </c>
      <c r="C40" s="232">
        <f>LEFT(B39,6)*D39</f>
        <v>0</v>
      </c>
      <c r="D40" s="232"/>
      <c r="E40" s="94" t="s">
        <v>5</v>
      </c>
      <c r="F40" s="51"/>
      <c r="G40" s="96" t="s">
        <v>36</v>
      </c>
      <c r="H40" s="232">
        <f>LEFT(G39,6)*I39</f>
        <v>0</v>
      </c>
      <c r="I40" s="232"/>
      <c r="J40" s="94" t="s">
        <v>5</v>
      </c>
      <c r="K40" s="50"/>
      <c r="L40" s="96" t="s">
        <v>36</v>
      </c>
      <c r="M40" s="232">
        <f>LEFT(L39,6)*N39</f>
        <v>0</v>
      </c>
      <c r="N40" s="232"/>
      <c r="O40" s="94" t="s">
        <v>5</v>
      </c>
      <c r="P40" s="50"/>
      <c r="Q40" s="96" t="s">
        <v>36</v>
      </c>
      <c r="R40" s="232">
        <f>LEFT(Q39,5)*S39</f>
        <v>0</v>
      </c>
      <c r="S40" s="232"/>
      <c r="T40" s="94" t="s">
        <v>5</v>
      </c>
      <c r="U40" s="14"/>
      <c r="V40" s="195"/>
      <c r="W40" s="195"/>
      <c r="X40" s="195"/>
      <c r="Y40" s="195"/>
      <c r="Z40" s="195"/>
      <c r="AA40" s="198"/>
      <c r="AB40" s="198"/>
      <c r="AC40" s="198"/>
      <c r="AD40" s="198"/>
      <c r="AE40" s="198"/>
      <c r="AF40" s="165"/>
      <c r="AG40" s="158"/>
      <c r="AH40" s="158"/>
      <c r="AI40" s="158"/>
      <c r="AJ40" s="158"/>
    </row>
    <row r="41" spans="1:36" s="4" customFormat="1" ht="6" customHeight="1">
      <c r="A41" s="41"/>
      <c r="B41" s="99"/>
      <c r="C41" s="52"/>
      <c r="D41" s="52"/>
      <c r="E41" s="94"/>
      <c r="F41" s="51"/>
      <c r="G41" s="99"/>
      <c r="H41" s="52"/>
      <c r="I41" s="52"/>
      <c r="J41" s="94"/>
      <c r="K41" s="50"/>
      <c r="L41" s="99"/>
      <c r="M41" s="52"/>
      <c r="N41" s="52"/>
      <c r="O41" s="94"/>
      <c r="P41" s="50"/>
      <c r="Q41" s="262"/>
      <c r="R41" s="263"/>
      <c r="S41" s="57"/>
      <c r="T41" s="94"/>
      <c r="U41" s="14"/>
      <c r="V41" s="195"/>
      <c r="W41" s="195"/>
      <c r="X41" s="195"/>
      <c r="Y41" s="195"/>
      <c r="Z41" s="195"/>
      <c r="AA41" s="198"/>
      <c r="AB41" s="198"/>
      <c r="AC41" s="198"/>
      <c r="AD41" s="198"/>
      <c r="AE41" s="198"/>
      <c r="AF41" s="165"/>
      <c r="AG41" s="158"/>
      <c r="AH41" s="158"/>
      <c r="AI41" s="158"/>
      <c r="AJ41" s="158"/>
    </row>
    <row r="42" spans="1:36" s="4" customFormat="1" ht="15" customHeight="1">
      <c r="A42" s="41"/>
      <c r="B42" s="97" t="s">
        <v>13</v>
      </c>
      <c r="C42" s="53"/>
      <c r="D42" s="53"/>
      <c r="E42" s="98"/>
      <c r="F42" s="51"/>
      <c r="G42" s="97" t="s">
        <v>13</v>
      </c>
      <c r="H42" s="53"/>
      <c r="I42" s="53"/>
      <c r="J42" s="98"/>
      <c r="K42" s="50"/>
      <c r="L42" s="97" t="s">
        <v>13</v>
      </c>
      <c r="M42" s="53"/>
      <c r="N42" s="53"/>
      <c r="O42" s="98"/>
      <c r="P42" s="50"/>
      <c r="Q42" s="97" t="s">
        <v>13</v>
      </c>
      <c r="R42" s="53"/>
      <c r="S42" s="53"/>
      <c r="T42" s="98"/>
      <c r="U42" s="14"/>
      <c r="V42" s="195"/>
      <c r="W42" s="195" t="s">
        <v>39</v>
      </c>
      <c r="X42" s="195" t="s">
        <v>40</v>
      </c>
      <c r="Y42" s="195" t="s">
        <v>41</v>
      </c>
      <c r="Z42" s="195"/>
      <c r="AA42" s="198"/>
      <c r="AB42" s="198"/>
      <c r="AC42" s="198"/>
      <c r="AD42" s="198"/>
      <c r="AE42" s="198"/>
      <c r="AF42" s="165"/>
      <c r="AG42" s="158"/>
      <c r="AH42" s="158"/>
      <c r="AI42" s="158"/>
      <c r="AJ42" s="158"/>
    </row>
    <row r="43" spans="1:36" s="4" customFormat="1" ht="18.75" customHeight="1">
      <c r="A43" s="41"/>
      <c r="B43" s="99"/>
      <c r="C43" s="232">
        <f>IF(V28=FALSE,19511,0)</f>
        <v>19511</v>
      </c>
      <c r="D43" s="232"/>
      <c r="E43" s="94" t="s">
        <v>5</v>
      </c>
      <c r="F43" s="51"/>
      <c r="G43" s="99"/>
      <c r="H43" s="232">
        <f>IF(T4=0,0,IF(V29=FALSE,6999,0))</f>
        <v>0</v>
      </c>
      <c r="I43" s="232"/>
      <c r="J43" s="94" t="s">
        <v>5</v>
      </c>
      <c r="K43" s="50"/>
      <c r="L43" s="99"/>
      <c r="M43" s="232">
        <f>IF(V28=FALSE,8196,0)</f>
        <v>8196</v>
      </c>
      <c r="N43" s="232"/>
      <c r="O43" s="94" t="s">
        <v>5</v>
      </c>
      <c r="P43" s="50"/>
      <c r="Q43" s="99"/>
      <c r="R43" s="232">
        <f>IF(V28=FALSE,823,0)</f>
        <v>823</v>
      </c>
      <c r="S43" s="232"/>
      <c r="T43" s="94" t="s">
        <v>5</v>
      </c>
      <c r="U43" s="14"/>
      <c r="V43" s="195"/>
      <c r="W43" s="195" t="str">
        <f>IF(OR(V28=TRUE,V3=TRUE),"",IF(OR(AND(軽減所得!I7&lt;=1,R25&lt;=軽減早見表!C5),AND(T1=1,軽減所得!I7=2,R25&lt;=軽減早見表!C6),AND(T1=2,軽減所得!I7=2,R25&lt;=軽減早見表!D6),AND(T1=2,軽減所得!I7=3,R25&lt;=軽減早見表!D7),AND(T1=3,軽減所得!I7=2,R25&lt;=軽減早見表!E6),AND(T1=3,軽減所得!I7=3,R25&lt;=軽減早見表!E7),AND(T1=3,軽減所得!I7=4,R25&lt;=軽減早見表!E8),AND(T1=4,軽減所得!I7=2,R25&lt;=軽減早見表!F6),AND(T1=4,軽減所得!I7=3,R25&lt;=軽減早見表!F7),AND(T1=4,軽減所得!I7=4,R25&lt;=軽減早見表!F8),AND(T1=4,軽減所得!I7=5,R25&lt;=軽減早見表!F9),AND(T1=5,軽減所得!I7=2,R25&lt;=軽減早見表!G6),AND(T1=5,軽減所得!I7=3,R25&lt;=軽減早見表!G7),AND(T1=5,軽減所得!I7=4,R25&lt;=軽減早見表!G8),AND(T1=5,軽減所得!I7=5,R25&lt;=軽減早見表!G9),AND(T1=5,軽減所得!I7=6,R25&lt;=軽減早見表!G10),AND(T1=6,軽減所得!I7=2,R25&lt;=軽減早見表!H6),AND(T1=6,軽減所得!I7=3,R25&lt;=軽減早見表!H7),AND(T1=6,軽減所得!I7=4,R25&lt;=軽減早見表!H8),AND(T1=6,軽減所得!I7=5,R25&lt;=軽減早見表!H9),AND(T1=6,軽減所得!I7=6,R25&lt;=軽減早見表!H10),),"○",""))</f>
        <v>○</v>
      </c>
      <c r="X43" s="195" t="str">
        <f>IF(OR(V28=TRUE,V3=TRUE),"",IF(OR(AND(T1=1,軽減所得!I7&lt;=1,R25&lt;=軽減早見表!C19),AND(T1=1,軽減所得!I7=2,R25&lt;=軽減早見表!C20),AND(T1=2,軽減所得!I7&lt;=1,R25&lt;=軽減早見表!D19),AND(T1=2,軽減所得!I7=2,R25&lt;=軽減早見表!D20),AND(T1=2,軽減所得!I7=3,R25&lt;=軽減早見表!D21),AND(T1=3,軽減所得!I7&lt;=1,R25&lt;=軽減早見表!E19),AND(T1=3,軽減所得!I7=2,R25&lt;=軽減早見表!E20),AND(T1=3,軽減所得!I7=3,R25&lt;=軽減早見表!E21),AND(T1=3,軽減所得!I7=4,R25&lt;=軽減早見表!E22),AND(T1=4,軽減所得!I7&lt;=1,R25&lt;=軽減早見表!F19),AND(T1=4,軽減所得!I7=2,R25&lt;=軽減早見表!F20),AND(T1=4,軽減所得!I7=3,R25&lt;=軽減早見表!F21),AND(T1=4,軽減所得!I7=4,R25&lt;=軽減早見表!F22),AND(T1=4,軽減所得!I7=5,R25&lt;=軽減早見表!F23),AND(T1=5,軽減所得!I7&lt;=1,R25&lt;=軽減早見表!G19),AND(T1=5,軽減所得!I7=2,R25&lt;=軽減早見表!G20),AND(T1=5,軽減所得!I7=3,R25&lt;=軽減早見表!G21),AND(T1=5,軽減所得!I7=4,R25&lt;=軽減早見表!G22),AND(T1=5,軽減所得!I7=5,R25&lt;=軽減早見表!G23),AND(T1=5,軽減所得!I7=6,R25&lt;=軽減早見表!G24),AND(T1=6,軽減所得!I7&lt;=1,R25&lt;=軽減早見表!H19),AND(T1=6,軽減所得!I7=2,R25&lt;=軽減早見表!H20),AND(T1=6,軽減所得!I7=3,R25&lt;=軽減早見表!H21),AND(T1=6,軽減所得!I7=4,R25&lt;=軽減早見表!H22),AND(T1=6,軽減所得!I7=5,R25&lt;=軽減早見表!H23),AND(T1=6,軽減所得!I7=6,R25&lt;=軽減早見表!H24),),"○",""))</f>
        <v/>
      </c>
      <c r="Y43" s="195" t="str">
        <f>IF(OR(V28=TRUE,V3=TRUE),"",IF(OR(AND(T1=1,軽減所得!I7&lt;=1,R25&lt;=軽減早見表!C33),AND(T1=1,軽減所得!I7=2,R25&lt;=軽減早見表!C34),AND(T1=2,軽減所得!I7&lt;=1,R25&lt;=軽減早見表!D33),AND(T1=2,軽減所得!I7=2,R25&lt;=軽減早見表!D34),AND(T1=2,軽減所得!I7=3,R25&lt;=軽減早見表!D35),AND(T1=3,軽減所得!I7&lt;=1,R25&lt;=軽減早見表!E33),AND(T1=3,軽減所得!I7=2,R25&lt;=軽減早見表!E34),AND(T1=3,軽減所得!I7=3,R25&lt;=軽減早見表!E35),AND(T1=3,軽減所得!I7=4,R25&lt;=軽減早見表!E36),AND(T1=4,軽減所得!I7&lt;=1,R25&lt;=軽減早見表!F33),AND(T1=4,軽減所得!I7=2,R25&lt;=軽減早見表!F34),AND(T1=4,軽減所得!I7=3,R25&lt;=軽減早見表!F35),AND(T1=4,軽減所得!I7=4,R25&lt;=軽減早見表!F36),AND(T1=4,軽減所得!I7=5,R25&lt;=軽減早見表!F37),AND(T2=5,軽減所得!I7&lt;=1,R25&lt;=軽減早見表!G33),AND(T1=5,軽減所得!I7=2,R25&lt;=軽減早見表!G34),AND(T1=5,軽減所得!I7=3,R25&lt;=軽減早見表!G35),AND(T1=5,軽減所得!I7=4,R25&lt;=軽減早見表!G36),AND(T1=5,軽減所得!I7=5,R25&lt;=軽減早見表!G37),AND(T1=5,軽減所得!I7=6,R25&lt;=軽減早見表!G38),AND(T1=6,軽減所得!I7&lt;=1,R25&lt;=軽減早見表!H33),AND(T1=6,軽減所得!I7=2,R25&lt;=軽減早見表!H34),AND(T1=6,軽減所得!I7=3,R25&lt;=軽減早見表!H35),AND(T1=6,軽減所得!I7=4,R25&lt;=軽減早見表!H36),AND(T1=6,軽減所得!I7=5,R25&lt;=軽減早見表!H37),AND(T1=6,軽減所得!I7=6,R25&lt;=軽減早見表!H38),),"○",""))</f>
        <v/>
      </c>
      <c r="Z43" s="195"/>
      <c r="AA43" s="198"/>
      <c r="AB43" s="198"/>
      <c r="AC43" s="198"/>
      <c r="AD43" s="198"/>
      <c r="AE43" s="198"/>
      <c r="AF43" s="165"/>
      <c r="AG43" s="158"/>
      <c r="AH43" s="158"/>
      <c r="AI43" s="158"/>
      <c r="AJ43" s="158"/>
    </row>
    <row r="44" spans="1:36" s="4" customFormat="1" ht="6" customHeight="1">
      <c r="A44" s="41"/>
      <c r="B44" s="99"/>
      <c r="C44" s="52"/>
      <c r="D44" s="52"/>
      <c r="E44" s="94"/>
      <c r="F44" s="51"/>
      <c r="G44" s="99"/>
      <c r="H44" s="52"/>
      <c r="I44" s="52"/>
      <c r="J44" s="94"/>
      <c r="K44" s="50"/>
      <c r="L44" s="99"/>
      <c r="M44" s="52"/>
      <c r="N44" s="52"/>
      <c r="O44" s="94"/>
      <c r="P44" s="50"/>
      <c r="Q44" s="121"/>
      <c r="R44" s="38"/>
      <c r="S44" s="38"/>
      <c r="T44" s="122"/>
      <c r="U44" s="14"/>
      <c r="V44" s="195"/>
      <c r="W44" s="195"/>
      <c r="X44" s="195"/>
      <c r="Y44" s="195"/>
      <c r="Z44" s="195"/>
      <c r="AA44" s="198"/>
      <c r="AB44" s="198"/>
      <c r="AC44" s="198"/>
      <c r="AD44" s="198"/>
      <c r="AE44" s="198"/>
      <c r="AF44" s="165"/>
      <c r="AG44" s="158"/>
      <c r="AH44" s="158"/>
      <c r="AI44" s="158"/>
      <c r="AJ44" s="158"/>
    </row>
    <row r="45" spans="1:36" s="4" customFormat="1">
      <c r="A45" s="41"/>
      <c r="B45" s="97" t="s">
        <v>49</v>
      </c>
      <c r="C45" s="52"/>
      <c r="D45" s="52"/>
      <c r="E45" s="94"/>
      <c r="F45" s="51"/>
      <c r="G45" s="97" t="s">
        <v>49</v>
      </c>
      <c r="H45" s="52"/>
      <c r="I45" s="52"/>
      <c r="J45" s="94"/>
      <c r="K45" s="50"/>
      <c r="L45" s="97" t="s">
        <v>49</v>
      </c>
      <c r="M45" s="52"/>
      <c r="N45" s="52"/>
      <c r="O45" s="94"/>
      <c r="P45" s="50"/>
      <c r="Q45" s="97" t="s">
        <v>64</v>
      </c>
      <c r="R45" s="52"/>
      <c r="S45" s="52"/>
      <c r="T45" s="94"/>
      <c r="U45" s="14"/>
      <c r="V45" s="195"/>
      <c r="W45" s="195"/>
      <c r="X45" s="195"/>
      <c r="Y45" s="195"/>
      <c r="Z45" s="195"/>
      <c r="AA45" s="198"/>
      <c r="AB45" s="198"/>
      <c r="AC45" s="198"/>
      <c r="AD45" s="198"/>
      <c r="AE45" s="198"/>
      <c r="AF45" s="165"/>
      <c r="AG45" s="158"/>
      <c r="AH45" s="158"/>
      <c r="AI45" s="158"/>
      <c r="AJ45" s="158"/>
    </row>
    <row r="46" spans="1:36" s="4" customFormat="1" ht="15" customHeight="1">
      <c r="A46" s="41"/>
      <c r="B46" s="343">
        <f>C40-LEFT(B39,6)*T7+C43</f>
        <v>19511</v>
      </c>
      <c r="C46" s="344"/>
      <c r="D46" s="54" t="s">
        <v>50</v>
      </c>
      <c r="E46" s="100">
        <f>IF(W43="○",0.7,IF(AND(W43="",X43="○"),0.5,IF(AND(W43="",X43="",Y43="○"),0.2,)))</f>
        <v>0.7</v>
      </c>
      <c r="F46" s="51"/>
      <c r="G46" s="343">
        <f>H40+H43</f>
        <v>0</v>
      </c>
      <c r="H46" s="344"/>
      <c r="I46" s="54" t="s">
        <v>50</v>
      </c>
      <c r="J46" s="104">
        <f>E46</f>
        <v>0.7</v>
      </c>
      <c r="K46" s="50"/>
      <c r="L46" s="343">
        <f>M40-LEFT(L39,6)*T7+M43</f>
        <v>8196</v>
      </c>
      <c r="M46" s="344"/>
      <c r="N46" s="54" t="s">
        <v>50</v>
      </c>
      <c r="O46" s="100">
        <f>E46</f>
        <v>0.7</v>
      </c>
      <c r="P46" s="50"/>
      <c r="Q46" s="343">
        <f>R40+R43</f>
        <v>823</v>
      </c>
      <c r="R46" s="344"/>
      <c r="S46" s="54" t="s">
        <v>50</v>
      </c>
      <c r="T46" s="100">
        <f>E46</f>
        <v>0.7</v>
      </c>
      <c r="U46" s="14"/>
      <c r="V46" s="195"/>
      <c r="W46" s="195"/>
      <c r="X46" s="195"/>
      <c r="Y46" s="195"/>
      <c r="Z46" s="195"/>
      <c r="AA46" s="198"/>
      <c r="AB46" s="198"/>
      <c r="AC46" s="198"/>
      <c r="AD46" s="198"/>
      <c r="AE46" s="198"/>
      <c r="AF46" s="165"/>
      <c r="AG46" s="158"/>
      <c r="AH46" s="158"/>
      <c r="AI46" s="158"/>
      <c r="AJ46" s="158"/>
    </row>
    <row r="47" spans="1:36" s="4" customFormat="1" ht="15" customHeight="1">
      <c r="A47" s="41"/>
      <c r="B47" s="343">
        <f>LEFT(B39,6)*T7</f>
        <v>0</v>
      </c>
      <c r="C47" s="344"/>
      <c r="D47" s="54" t="s">
        <v>50</v>
      </c>
      <c r="E47" s="104">
        <f>E46+(1-E46)*0.5</f>
        <v>0.85</v>
      </c>
      <c r="F47" s="51"/>
      <c r="G47" s="106"/>
      <c r="H47" s="62"/>
      <c r="I47" s="52"/>
      <c r="J47" s="107"/>
      <c r="K47" s="50"/>
      <c r="L47" s="343">
        <f>LEFT(L39,6)*T7</f>
        <v>0</v>
      </c>
      <c r="M47" s="344"/>
      <c r="N47" s="54" t="s">
        <v>50</v>
      </c>
      <c r="O47" s="104">
        <f>O46+(1-O46)*0.5</f>
        <v>0.85</v>
      </c>
      <c r="P47" s="50"/>
      <c r="Q47" s="101"/>
      <c r="R47" s="63"/>
      <c r="S47" s="55"/>
      <c r="T47" s="102"/>
      <c r="U47" s="14"/>
      <c r="V47" s="195"/>
      <c r="W47" s="195"/>
      <c r="X47" s="195"/>
      <c r="Y47" s="195"/>
      <c r="Z47" s="195"/>
      <c r="AA47" s="198"/>
      <c r="AB47" s="198"/>
      <c r="AC47" s="198"/>
      <c r="AD47" s="198"/>
      <c r="AE47" s="198"/>
      <c r="AF47" s="165"/>
      <c r="AG47" s="158"/>
      <c r="AH47" s="158"/>
      <c r="AI47" s="158"/>
      <c r="AJ47" s="158"/>
    </row>
    <row r="48" spans="1:36" s="4" customFormat="1" ht="19.5" customHeight="1">
      <c r="A48" s="41"/>
      <c r="B48" s="96" t="s">
        <v>36</v>
      </c>
      <c r="C48" s="229">
        <f>ROUNDDOWN((B46*E46)+(B47*E47),0)</f>
        <v>13657</v>
      </c>
      <c r="D48" s="229"/>
      <c r="E48" s="94" t="s">
        <v>5</v>
      </c>
      <c r="F48" s="51"/>
      <c r="G48" s="96" t="s">
        <v>36</v>
      </c>
      <c r="H48" s="229">
        <f>ROUNDDOWN(G46*J46,0)</f>
        <v>0</v>
      </c>
      <c r="I48" s="229"/>
      <c r="J48" s="94" t="s">
        <v>5</v>
      </c>
      <c r="K48" s="50"/>
      <c r="L48" s="96" t="s">
        <v>36</v>
      </c>
      <c r="M48" s="229">
        <f>ROUNDDOWN((L46*O46)+(L47*O47),0)</f>
        <v>5737</v>
      </c>
      <c r="N48" s="229"/>
      <c r="O48" s="94" t="s">
        <v>5</v>
      </c>
      <c r="P48" s="50"/>
      <c r="Q48" s="96" t="s">
        <v>36</v>
      </c>
      <c r="R48" s="229">
        <f>ROUNDDOWN((Q46*T46),0)</f>
        <v>576</v>
      </c>
      <c r="S48" s="229"/>
      <c r="T48" s="94" t="s">
        <v>5</v>
      </c>
      <c r="U48" s="14"/>
      <c r="V48" s="195"/>
      <c r="W48" s="195"/>
      <c r="X48" s="195"/>
      <c r="Y48" s="195"/>
      <c r="Z48" s="195"/>
      <c r="AA48" s="198"/>
      <c r="AB48" s="198"/>
      <c r="AC48" s="198"/>
      <c r="AD48" s="198"/>
      <c r="AE48" s="198"/>
      <c r="AF48" s="165"/>
      <c r="AG48" s="158"/>
      <c r="AH48" s="158"/>
      <c r="AI48" s="158"/>
      <c r="AJ48" s="158"/>
    </row>
    <row r="49" spans="1:36" s="4" customFormat="1" ht="15" customHeight="1">
      <c r="A49" s="41"/>
      <c r="B49" s="95" t="s">
        <v>18</v>
      </c>
      <c r="C49" s="56"/>
      <c r="D49" s="53"/>
      <c r="E49" s="103"/>
      <c r="F49" s="50"/>
      <c r="G49" s="95" t="s">
        <v>18</v>
      </c>
      <c r="H49" s="56"/>
      <c r="I49" s="53"/>
      <c r="J49" s="103"/>
      <c r="K49" s="50"/>
      <c r="L49" s="95" t="s">
        <v>18</v>
      </c>
      <c r="M49" s="56"/>
      <c r="N49" s="53"/>
      <c r="O49" s="103"/>
      <c r="P49" s="50"/>
      <c r="Q49" s="95" t="s">
        <v>18</v>
      </c>
      <c r="R49" s="56"/>
      <c r="S49" s="53"/>
      <c r="T49" s="103"/>
      <c r="U49" s="14"/>
      <c r="V49" s="195"/>
      <c r="W49" s="195"/>
      <c r="X49" s="195"/>
      <c r="Y49" s="195"/>
      <c r="Z49" s="195"/>
      <c r="AA49" s="198"/>
      <c r="AB49" s="198"/>
      <c r="AC49" s="198"/>
      <c r="AD49" s="198"/>
      <c r="AE49" s="198"/>
      <c r="AF49" s="165"/>
      <c r="AG49" s="158"/>
      <c r="AH49" s="158"/>
      <c r="AI49" s="158"/>
      <c r="AJ49" s="158"/>
    </row>
    <row r="50" spans="1:36" s="4" customFormat="1" ht="18" customHeight="1">
      <c r="A50" s="41"/>
      <c r="B50" s="95"/>
      <c r="C50" s="337">
        <f>MIN(ROUNDDOWN(C36+C40+C43-C48,-2),670000)</f>
        <v>5800</v>
      </c>
      <c r="D50" s="338"/>
      <c r="E50" s="94" t="s">
        <v>5</v>
      </c>
      <c r="F50" s="50"/>
      <c r="G50" s="95"/>
      <c r="H50" s="335">
        <f>MIN(ROUNDDOWN(H36+H40+H43-H48,-2),170000)</f>
        <v>0</v>
      </c>
      <c r="I50" s="336"/>
      <c r="J50" s="94" t="s">
        <v>5</v>
      </c>
      <c r="K50" s="50"/>
      <c r="L50" s="95"/>
      <c r="M50" s="224">
        <f>MIN(ROUNDDOWN(M36+M40+M43-M48,-2),260000)</f>
        <v>2400</v>
      </c>
      <c r="N50" s="225"/>
      <c r="O50" s="94" t="s">
        <v>5</v>
      </c>
      <c r="P50" s="50"/>
      <c r="Q50" s="95"/>
      <c r="R50" s="255">
        <f>MIN(ROUNDDOWN(R36+R40+R43-R48,-2),30000)</f>
        <v>200</v>
      </c>
      <c r="S50" s="256"/>
      <c r="T50" s="94" t="s">
        <v>5</v>
      </c>
      <c r="U50" s="14"/>
      <c r="V50" s="195"/>
      <c r="W50" s="195"/>
      <c r="X50" s="195"/>
      <c r="Y50" s="195"/>
      <c r="Z50" s="195"/>
      <c r="AA50" s="198"/>
      <c r="AB50" s="198"/>
      <c r="AC50" s="198"/>
      <c r="AD50" s="198"/>
      <c r="AE50" s="198"/>
      <c r="AF50" s="165"/>
      <c r="AG50" s="158"/>
      <c r="AH50" s="158"/>
      <c r="AI50" s="158"/>
      <c r="AJ50" s="158"/>
    </row>
    <row r="51" spans="1:36" s="4" customFormat="1" ht="14.25" customHeight="1">
      <c r="A51" s="41"/>
      <c r="B51" s="226" t="s">
        <v>53</v>
      </c>
      <c r="C51" s="227"/>
      <c r="D51" s="227"/>
      <c r="E51" s="228"/>
      <c r="F51" s="50"/>
      <c r="G51" s="226" t="s">
        <v>54</v>
      </c>
      <c r="H51" s="227"/>
      <c r="I51" s="227"/>
      <c r="J51" s="228"/>
      <c r="K51" s="50"/>
      <c r="L51" s="226" t="s">
        <v>55</v>
      </c>
      <c r="M51" s="227"/>
      <c r="N51" s="227"/>
      <c r="O51" s="228"/>
      <c r="P51" s="50"/>
      <c r="Q51" s="226" t="s">
        <v>56</v>
      </c>
      <c r="R51" s="227"/>
      <c r="S51" s="227"/>
      <c r="T51" s="228"/>
      <c r="U51" s="14"/>
      <c r="V51" s="195"/>
      <c r="W51" s="195"/>
      <c r="X51" s="195"/>
      <c r="Y51" s="195"/>
      <c r="Z51" s="195"/>
      <c r="AA51" s="198"/>
      <c r="AB51" s="198"/>
      <c r="AC51" s="198"/>
      <c r="AD51" s="198"/>
      <c r="AE51" s="198"/>
      <c r="AF51" s="165"/>
      <c r="AG51" s="158"/>
      <c r="AH51" s="158"/>
      <c r="AI51" s="158"/>
      <c r="AJ51" s="158"/>
    </row>
    <row r="52" spans="1:36" s="4" customFormat="1" ht="8.25" customHeight="1">
      <c r="A52" s="41"/>
      <c r="B52" s="49"/>
      <c r="C52" s="56"/>
      <c r="D52" s="56"/>
      <c r="E52" s="56"/>
      <c r="F52" s="49"/>
      <c r="G52" s="49"/>
      <c r="H52" s="49"/>
      <c r="I52" s="49"/>
      <c r="J52" s="49"/>
      <c r="K52" s="49"/>
      <c r="L52" s="49"/>
      <c r="M52" s="61"/>
      <c r="N52" s="49"/>
      <c r="O52" s="49"/>
      <c r="P52" s="61"/>
      <c r="Q52" s="49"/>
      <c r="R52" s="61"/>
      <c r="S52" s="49"/>
      <c r="T52" s="49"/>
      <c r="U52" s="14"/>
      <c r="V52" s="196"/>
      <c r="W52" s="195"/>
      <c r="X52" s="195"/>
      <c r="Y52" s="195"/>
      <c r="Z52" s="195"/>
      <c r="AA52" s="198"/>
      <c r="AB52" s="198"/>
      <c r="AC52" s="198"/>
      <c r="AD52" s="198"/>
      <c r="AE52" s="198"/>
      <c r="AF52" s="165"/>
      <c r="AG52" s="158"/>
      <c r="AH52" s="158"/>
      <c r="AI52" s="158"/>
      <c r="AJ52" s="158"/>
    </row>
    <row r="53" spans="1:36" ht="6" customHeight="1" thickBot="1">
      <c r="A53" s="42"/>
      <c r="B53" s="68"/>
      <c r="C53" s="69"/>
      <c r="D53" s="69"/>
      <c r="E53" s="69"/>
      <c r="F53" s="70"/>
      <c r="G53" s="71"/>
      <c r="H53" s="70"/>
      <c r="I53" s="70"/>
      <c r="J53" s="70"/>
      <c r="K53" s="70"/>
      <c r="L53" s="70"/>
      <c r="M53" s="72"/>
      <c r="N53" s="70"/>
      <c r="O53" s="70"/>
      <c r="P53" s="72"/>
      <c r="Q53" s="70"/>
      <c r="R53" s="72"/>
      <c r="S53" s="70"/>
      <c r="T53" s="73"/>
      <c r="U53" s="18"/>
    </row>
    <row r="54" spans="1:36" ht="20.25" customHeight="1" thickTop="1" thickBot="1">
      <c r="A54" s="42"/>
      <c r="B54" s="368" t="s">
        <v>95</v>
      </c>
      <c r="C54" s="367"/>
      <c r="D54" s="367"/>
      <c r="E54" s="367"/>
      <c r="F54" s="367"/>
      <c r="G54" s="341">
        <f>C50+H50+M50+R50</f>
        <v>8400</v>
      </c>
      <c r="H54" s="342"/>
      <c r="I54" s="367" t="s">
        <v>14</v>
      </c>
      <c r="J54" s="367"/>
      <c r="K54" s="367"/>
      <c r="L54" s="367"/>
      <c r="M54" s="367"/>
      <c r="N54" s="341">
        <f>ROUNDUP(G54/12,-2)</f>
        <v>700</v>
      </c>
      <c r="O54" s="342"/>
      <c r="P54" s="340" t="s">
        <v>15</v>
      </c>
      <c r="Q54" s="340"/>
      <c r="R54" s="340"/>
      <c r="S54" s="74"/>
      <c r="T54" s="75"/>
      <c r="V54" s="180"/>
    </row>
    <row r="55" spans="1:36" ht="14.25" customHeight="1" thickTop="1">
      <c r="A55" s="42"/>
      <c r="B55" s="76"/>
      <c r="C55" s="77"/>
      <c r="D55" s="74"/>
      <c r="E55" s="78"/>
      <c r="F55" s="74"/>
      <c r="G55" s="79"/>
      <c r="H55" s="79"/>
      <c r="I55" s="79"/>
      <c r="J55" s="79"/>
      <c r="K55" s="339" t="s">
        <v>61</v>
      </c>
      <c r="L55" s="339"/>
      <c r="M55" s="339"/>
      <c r="N55" s="339"/>
      <c r="O55" s="339"/>
      <c r="P55" s="339"/>
      <c r="Q55" s="339"/>
      <c r="R55" s="339"/>
      <c r="S55" s="339"/>
      <c r="T55" s="87"/>
      <c r="U55" s="18"/>
    </row>
    <row r="56" spans="1:36" ht="14.25" customHeight="1">
      <c r="A56" s="42"/>
      <c r="B56" s="76"/>
      <c r="C56" s="77"/>
      <c r="D56" s="339" t="s">
        <v>62</v>
      </c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87"/>
      <c r="U56" s="18"/>
    </row>
    <row r="57" spans="1:36" ht="3.75" customHeight="1">
      <c r="A57" s="42"/>
      <c r="B57" s="80" t="s">
        <v>17</v>
      </c>
      <c r="C57" s="81"/>
      <c r="D57" s="82"/>
      <c r="E57" s="83"/>
      <c r="F57" s="82"/>
      <c r="G57" s="82"/>
      <c r="H57" s="82"/>
      <c r="I57" s="82"/>
      <c r="J57" s="82"/>
      <c r="K57" s="82"/>
      <c r="L57" s="84"/>
      <c r="M57" s="84"/>
      <c r="N57" s="84"/>
      <c r="O57" s="84"/>
      <c r="P57" s="84"/>
      <c r="Q57" s="84"/>
      <c r="R57" s="84"/>
      <c r="S57" s="84"/>
      <c r="T57" s="85"/>
      <c r="U57" s="18"/>
    </row>
    <row r="58" spans="1:36" s="18" customFormat="1" ht="7.5" customHeight="1">
      <c r="A58" s="42"/>
      <c r="B58" s="59"/>
      <c r="C58" s="59"/>
      <c r="D58" s="58"/>
      <c r="E58" s="60"/>
      <c r="F58" s="58"/>
      <c r="G58" s="58"/>
      <c r="H58" s="58"/>
      <c r="I58" s="58"/>
      <c r="J58" s="58"/>
      <c r="K58" s="58"/>
      <c r="L58" s="67"/>
      <c r="M58" s="67"/>
      <c r="N58" s="67"/>
      <c r="O58" s="67"/>
      <c r="P58" s="67"/>
      <c r="Q58" s="67"/>
      <c r="R58" s="67"/>
      <c r="S58" s="67"/>
      <c r="T58" s="67"/>
      <c r="V58" s="179"/>
      <c r="W58" s="180"/>
      <c r="X58" s="180"/>
      <c r="Y58" s="180"/>
      <c r="Z58" s="180"/>
      <c r="AA58" s="180"/>
      <c r="AB58" s="180"/>
      <c r="AC58" s="180"/>
      <c r="AD58" s="180"/>
      <c r="AE58" s="180"/>
      <c r="AF58" s="160"/>
      <c r="AG58" s="155"/>
      <c r="AH58" s="155"/>
      <c r="AI58" s="155"/>
      <c r="AJ58" s="155"/>
    </row>
    <row r="59" spans="1:36">
      <c r="A59" s="42"/>
      <c r="B59" s="108" t="s">
        <v>20</v>
      </c>
      <c r="C59" s="146"/>
      <c r="D59" s="146"/>
      <c r="E59" s="146"/>
      <c r="F59" s="147"/>
      <c r="G59" s="147"/>
      <c r="H59" s="147"/>
      <c r="I59" s="147"/>
      <c r="J59" s="147"/>
      <c r="K59" s="147"/>
      <c r="L59" s="148"/>
      <c r="M59" s="148"/>
      <c r="N59" s="148"/>
      <c r="O59" s="148"/>
      <c r="P59" s="148"/>
      <c r="Q59" s="148"/>
      <c r="R59" s="148"/>
      <c r="S59" s="148"/>
      <c r="T59" s="148"/>
      <c r="U59" s="18"/>
    </row>
    <row r="60" spans="1:36">
      <c r="A60" s="42"/>
      <c r="B60" s="254" t="s">
        <v>79</v>
      </c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18"/>
    </row>
    <row r="61" spans="1:36">
      <c r="A61" s="42"/>
      <c r="B61" s="254" t="s">
        <v>80</v>
      </c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18"/>
    </row>
    <row r="62" spans="1:36" ht="13.5" customHeight="1">
      <c r="A62" s="42"/>
      <c r="B62" s="254" t="s">
        <v>21</v>
      </c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18"/>
    </row>
    <row r="63" spans="1:36">
      <c r="A63" s="42"/>
      <c r="B63" s="149" t="s">
        <v>81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8"/>
    </row>
    <row r="64" spans="1:36">
      <c r="A64" s="42"/>
      <c r="B64" s="149" t="s">
        <v>24</v>
      </c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8"/>
    </row>
    <row r="65" spans="1:21" ht="7.5" customHeight="1">
      <c r="A65" s="42"/>
      <c r="B65" s="14"/>
      <c r="C65" s="24"/>
      <c r="D65" s="24"/>
      <c r="E65" s="24"/>
      <c r="F65" s="14"/>
      <c r="G65" s="14"/>
      <c r="H65" s="14"/>
      <c r="I65" s="14"/>
      <c r="J65" s="14"/>
      <c r="L65" s="14"/>
      <c r="M65" s="14"/>
      <c r="U65" s="14"/>
    </row>
    <row r="66" spans="1:21">
      <c r="A66" s="42"/>
      <c r="B66" s="18"/>
      <c r="C66" s="25"/>
      <c r="D66" s="25"/>
      <c r="E66" s="25"/>
      <c r="F66" s="18"/>
      <c r="G66" s="18"/>
      <c r="H66" s="18"/>
      <c r="I66" s="18"/>
      <c r="J66" s="18"/>
      <c r="K66" s="18"/>
      <c r="L66" s="18"/>
      <c r="M66" s="19"/>
      <c r="N66" s="217"/>
      <c r="O66" s="217"/>
      <c r="P66" s="217"/>
      <c r="Q66" s="217"/>
      <c r="R66" s="217"/>
      <c r="S66" s="217"/>
      <c r="T66" s="217"/>
      <c r="U66" s="18"/>
    </row>
    <row r="67" spans="1:21">
      <c r="A67" s="42"/>
      <c r="B67" s="46"/>
      <c r="C67" s="150"/>
      <c r="D67" s="150"/>
      <c r="E67" s="150"/>
      <c r="F67" s="46"/>
      <c r="G67" s="46"/>
      <c r="H67" s="46"/>
      <c r="I67" s="46"/>
      <c r="J67" s="46"/>
      <c r="K67" s="46"/>
      <c r="L67" s="46"/>
      <c r="M67" s="47"/>
      <c r="N67" s="46"/>
      <c r="O67" s="46"/>
      <c r="P67" s="47"/>
      <c r="Q67" s="46"/>
      <c r="R67" s="47"/>
      <c r="S67" s="46"/>
      <c r="T67" s="47"/>
      <c r="U67" s="18"/>
    </row>
    <row r="68" spans="1:21" ht="12" customHeight="1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</row>
    <row r="69" spans="1:21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</row>
    <row r="70" spans="1:21"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</row>
    <row r="71" spans="1:21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</row>
    <row r="72" spans="1:21"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</row>
    <row r="73" spans="1:21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</row>
    <row r="74" spans="1:21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</row>
  </sheetData>
  <sheetProtection algorithmName="SHA-512" hashValue="7Uq+EZoi0Jx+5WgKVhHqE2EuHX0fPwKisz824GKbzKLNVGi6ONZENEdZWtQ7lY8khTKkDi6bHv2rmIbLHriUBA==" saltValue="QI5zH/DZ2VAtIevWLeSI7Q==" spinCount="100000" sheet="1" selectLockedCells="1"/>
  <mergeCells count="152">
    <mergeCell ref="R1:S2"/>
    <mergeCell ref="A26:M26"/>
    <mergeCell ref="K55:S55"/>
    <mergeCell ref="E4:G5"/>
    <mergeCell ref="H4:J5"/>
    <mergeCell ref="H6:J6"/>
    <mergeCell ref="H7:J7"/>
    <mergeCell ref="H8:J8"/>
    <mergeCell ref="H9:J9"/>
    <mergeCell ref="H10:J10"/>
    <mergeCell ref="B4:B5"/>
    <mergeCell ref="C4:C5"/>
    <mergeCell ref="D4:D5"/>
    <mergeCell ref="H11:J11"/>
    <mergeCell ref="R7:S8"/>
    <mergeCell ref="R4:S5"/>
    <mergeCell ref="O4:P5"/>
    <mergeCell ref="I54:M54"/>
    <mergeCell ref="G54:H54"/>
    <mergeCell ref="B54:F54"/>
    <mergeCell ref="Q46:R46"/>
    <mergeCell ref="R21:T22"/>
    <mergeCell ref="B15:B16"/>
    <mergeCell ref="C15:C16"/>
    <mergeCell ref="B17:C17"/>
    <mergeCell ref="B18:B19"/>
    <mergeCell ref="C18:C19"/>
    <mergeCell ref="B20:C20"/>
    <mergeCell ref="B21:B22"/>
    <mergeCell ref="C21:C22"/>
    <mergeCell ref="B23:C23"/>
    <mergeCell ref="R19:T20"/>
    <mergeCell ref="T7:T8"/>
    <mergeCell ref="L51:O51"/>
    <mergeCell ref="H50:I50"/>
    <mergeCell ref="B60:T60"/>
    <mergeCell ref="G39:H39"/>
    <mergeCell ref="L39:M39"/>
    <mergeCell ref="M48:N48"/>
    <mergeCell ref="B35:C35"/>
    <mergeCell ref="D35:E35"/>
    <mergeCell ref="G35:H35"/>
    <mergeCell ref="C50:D50"/>
    <mergeCell ref="C43:D43"/>
    <mergeCell ref="H43:I43"/>
    <mergeCell ref="M43:N43"/>
    <mergeCell ref="D56:S56"/>
    <mergeCell ref="P54:R54"/>
    <mergeCell ref="N54:O54"/>
    <mergeCell ref="N35:O35"/>
    <mergeCell ref="G51:J51"/>
    <mergeCell ref="B46:C46"/>
    <mergeCell ref="B47:C47"/>
    <mergeCell ref="G46:H46"/>
    <mergeCell ref="L46:M46"/>
    <mergeCell ref="L47:M47"/>
    <mergeCell ref="H19:J19"/>
    <mergeCell ref="H20:J20"/>
    <mergeCell ref="U1:U2"/>
    <mergeCell ref="L35:M35"/>
    <mergeCell ref="C36:D36"/>
    <mergeCell ref="H36:I36"/>
    <mergeCell ref="M36:N36"/>
    <mergeCell ref="B39:C39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23:G23"/>
    <mergeCell ref="H22:J22"/>
    <mergeCell ref="H23:J23"/>
    <mergeCell ref="T1:T2"/>
    <mergeCell ref="R13:T14"/>
    <mergeCell ref="E22:G22"/>
    <mergeCell ref="E16:G16"/>
    <mergeCell ref="U4:U5"/>
    <mergeCell ref="U7:U8"/>
    <mergeCell ref="T4:T5"/>
    <mergeCell ref="T10:T11"/>
    <mergeCell ref="U10:U11"/>
    <mergeCell ref="Q41:R41"/>
    <mergeCell ref="K4:N5"/>
    <mergeCell ref="K6:N8"/>
    <mergeCell ref="K9:N11"/>
    <mergeCell ref="K12:N14"/>
    <mergeCell ref="K15:N17"/>
    <mergeCell ref="K18:N20"/>
    <mergeCell ref="K21:N23"/>
    <mergeCell ref="R24:T24"/>
    <mergeCell ref="R25:T26"/>
    <mergeCell ref="P24:Q24"/>
    <mergeCell ref="P25:Q25"/>
    <mergeCell ref="P26:Q26"/>
    <mergeCell ref="Q35:R35"/>
    <mergeCell ref="S35:T35"/>
    <mergeCell ref="R36:S36"/>
    <mergeCell ref="Q39:R39"/>
    <mergeCell ref="R40:S40"/>
    <mergeCell ref="R10:S11"/>
    <mergeCell ref="N66:T66"/>
    <mergeCell ref="R15:T16"/>
    <mergeCell ref="M50:N50"/>
    <mergeCell ref="B51:E51"/>
    <mergeCell ref="C48:D48"/>
    <mergeCell ref="H48:I48"/>
    <mergeCell ref="I35:J35"/>
    <mergeCell ref="C40:D40"/>
    <mergeCell ref="H40:I40"/>
    <mergeCell ref="M40:N40"/>
    <mergeCell ref="E17:G17"/>
    <mergeCell ref="E18:G18"/>
    <mergeCell ref="E19:G19"/>
    <mergeCell ref="E20:G20"/>
    <mergeCell ref="E21:G21"/>
    <mergeCell ref="A30:D30"/>
    <mergeCell ref="H21:J21"/>
    <mergeCell ref="E15:G15"/>
    <mergeCell ref="B61:T61"/>
    <mergeCell ref="B62:T62"/>
    <mergeCell ref="R43:S43"/>
    <mergeCell ref="R48:S48"/>
    <mergeCell ref="R50:S50"/>
    <mergeCell ref="Q51:T51"/>
    <mergeCell ref="A1:K2"/>
    <mergeCell ref="B3:D3"/>
    <mergeCell ref="O6:P8"/>
    <mergeCell ref="O12:P14"/>
    <mergeCell ref="O18:P20"/>
    <mergeCell ref="O21:P23"/>
    <mergeCell ref="O15:P17"/>
    <mergeCell ref="O9:P11"/>
    <mergeCell ref="B6:B7"/>
    <mergeCell ref="C6:C7"/>
    <mergeCell ref="B8:C8"/>
    <mergeCell ref="B9:B10"/>
    <mergeCell ref="C9:C10"/>
    <mergeCell ref="B11:C11"/>
    <mergeCell ref="B12:B13"/>
    <mergeCell ref="C12:C13"/>
    <mergeCell ref="B14:C14"/>
    <mergeCell ref="H12:J12"/>
    <mergeCell ref="H13:J13"/>
    <mergeCell ref="H14:J14"/>
    <mergeCell ref="H15:J15"/>
    <mergeCell ref="H16:J16"/>
    <mergeCell ref="H17:J17"/>
    <mergeCell ref="H18:J18"/>
  </mergeCells>
  <phoneticPr fontId="2"/>
  <dataValidations count="6">
    <dataValidation imeMode="off" allowBlank="1" showInputMessage="1" showErrorMessage="1" sqref="T10:T11" xr:uid="{63375AB8-5F85-48EA-8E2A-A3F67F185E67}"/>
    <dataValidation type="whole" allowBlank="1" showInputMessage="1" showErrorMessage="1" error="収入額が0円の場合は空白にしておいてください！" sqref="E21:F22 E9:F10 E12:F13 E15:F16 E18:F19 E6:E7 F7" xr:uid="{0FBCAC88-52B7-438D-93BE-E1A7003F4265}">
      <formula1>1</formula1>
      <formula2>9999999999</formula2>
    </dataValidation>
    <dataValidation type="list" allowBlank="1" showInputMessage="1" showErrorMessage="1" sqref="B3" xr:uid="{EC08407E-ED78-43A9-8CDF-405CA85126D5}">
      <formula1>$AE$5:$AE$6</formula1>
    </dataValidation>
    <dataValidation type="list" allowBlank="1" showInputMessage="1" showErrorMessage="1" sqref="O6:P23" xr:uid="{71994CB2-EE3A-4485-9D62-5C3D65C182C5}">
      <formula1>$AD$5:$AD$6</formula1>
    </dataValidation>
    <dataValidation type="list" allowBlank="1" showErrorMessage="1" sqref="B9:B10 B12:B13 B15:B16 B18:B19 B21:B22" xr:uid="{290E459A-054A-4D95-9482-6AFF3042A52A}">
      <formula1>$AC$18:$AC$21</formula1>
    </dataValidation>
    <dataValidation type="list" allowBlank="1" showErrorMessage="1" sqref="B8:C8 B11:C11 B14:C14 B17:C17 B20:C20 B23:C23" xr:uid="{45BC6DB6-FBCA-413A-BD1A-677FECEB281E}">
      <formula1>$AB$5:$AB$6</formula1>
    </dataValidation>
  </dataValidations>
  <printOptions horizontalCentered="1"/>
  <pageMargins left="0.35433070866141736" right="0.15748031496062992" top="0.59055118110236227" bottom="0.15748031496062992" header="0.31496062992125984" footer="3.937007874015748E-2"/>
  <headerFooter alignWithMargins="0">
    <oddHeader>&amp;C&amp;"ＭＳ Ｐゴシック,太字"&amp;18令和８年度　加古川市国民健康保険料試算シート&amp;R&amp;"BIZ UDPゴシック,標準"&amp;7&amp;D</oddHeader>
    <oddFooter>&amp;R&amp;"BIZ UDゴシック,標準"加古川市役所 国民健康保険課 保険料係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F939-1511-46ED-8788-11B470A59138}">
  <sheetPr>
    <tabColor theme="4" tint="0.59999389629810485"/>
    <pageSetUpPr fitToPage="1"/>
  </sheetPr>
  <dimension ref="A1:AJ74"/>
  <sheetViews>
    <sheetView showGridLines="0" zoomScaleNormal="100" zoomScaleSheetLayoutView="100" workbookViewId="0">
      <selection activeCell="AA6" sqref="AA6"/>
    </sheetView>
  </sheetViews>
  <sheetFormatPr defaultRowHeight="12"/>
  <cols>
    <col min="1" max="1" width="1.375" style="520" customWidth="1"/>
    <col min="2" max="2" width="5.75" style="382" customWidth="1"/>
    <col min="3" max="3" width="6.75" style="638" customWidth="1"/>
    <col min="4" max="4" width="6.125" style="638" customWidth="1"/>
    <col min="5" max="5" width="5.875" style="638" customWidth="1"/>
    <col min="6" max="6" width="2.625" style="382" customWidth="1"/>
    <col min="7" max="7" width="5.625" style="382" customWidth="1"/>
    <col min="8" max="8" width="6.75" style="382" customWidth="1"/>
    <col min="9" max="9" width="5.25" style="382" customWidth="1"/>
    <col min="10" max="10" width="4.5" style="382" customWidth="1"/>
    <col min="11" max="11" width="2.125" style="382" customWidth="1"/>
    <col min="12" max="12" width="4.75" style="382" customWidth="1"/>
    <col min="13" max="13" width="6" style="383" customWidth="1"/>
    <col min="14" max="14" width="4.375" style="382" customWidth="1"/>
    <col min="15" max="15" width="6.625" style="382" customWidth="1"/>
    <col min="16" max="16" width="2.125" style="383" customWidth="1"/>
    <col min="17" max="17" width="5.875" style="382" customWidth="1"/>
    <col min="18" max="18" width="5.75" style="383" customWidth="1"/>
    <col min="19" max="19" width="5.75" style="382" customWidth="1"/>
    <col min="20" max="20" width="5.25" style="383" customWidth="1"/>
    <col min="21" max="21" width="2.25" style="382" customWidth="1"/>
    <col min="22" max="22" width="10" style="388" customWidth="1"/>
    <col min="23" max="23" width="8.875" style="389" customWidth="1"/>
    <col min="24" max="24" width="11.625" style="389" bestFit="1" customWidth="1"/>
    <col min="25" max="25" width="6.875" style="389" bestFit="1" customWidth="1"/>
    <col min="26" max="26" width="0" style="389" hidden="1" customWidth="1"/>
    <col min="27" max="32" width="9" style="390"/>
    <col min="33" max="36" width="9" style="391"/>
    <col min="37" max="16384" width="9" style="382"/>
  </cols>
  <sheetData>
    <row r="1" spans="1:31" ht="9" customHeight="1">
      <c r="A1" s="381" t="s">
        <v>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O1" s="384"/>
      <c r="R1" s="385" t="s">
        <v>52</v>
      </c>
      <c r="S1" s="386"/>
      <c r="T1" s="260">
        <f>IF(V2=TRUE,COUNTA(C6:C23),COUNTA(C9:C23))</f>
        <v>5</v>
      </c>
      <c r="U1" s="387" t="s">
        <v>7</v>
      </c>
    </row>
    <row r="2" spans="1:31" ht="15" customHeight="1" thickBot="1">
      <c r="A2" s="381"/>
      <c r="B2" s="381"/>
      <c r="C2" s="381"/>
      <c r="D2" s="381"/>
      <c r="E2" s="381"/>
      <c r="F2" s="381"/>
      <c r="G2" s="381"/>
      <c r="H2" s="381"/>
      <c r="I2" s="381"/>
      <c r="J2" s="381"/>
      <c r="K2" s="381"/>
      <c r="O2" s="384"/>
      <c r="P2" s="392"/>
      <c r="R2" s="385"/>
      <c r="S2" s="386"/>
      <c r="T2" s="261"/>
      <c r="U2" s="387"/>
      <c r="V2" s="388" t="b">
        <f>IF(B3="世帯主の加入有",TRUE,FALSE)</f>
        <v>1</v>
      </c>
    </row>
    <row r="3" spans="1:31" ht="18" customHeight="1" thickBot="1">
      <c r="A3" s="393"/>
      <c r="B3" s="394" t="s">
        <v>90</v>
      </c>
      <c r="C3" s="395"/>
      <c r="D3" s="396"/>
      <c r="E3" s="397"/>
      <c r="F3" s="398"/>
      <c r="G3" s="398"/>
      <c r="H3" s="398"/>
      <c r="I3" s="398"/>
      <c r="J3" s="398"/>
      <c r="O3" s="384"/>
      <c r="P3" s="399"/>
      <c r="R3" s="399"/>
      <c r="S3" s="400"/>
      <c r="T3" s="399"/>
      <c r="U3" s="399"/>
      <c r="V3" s="388" t="b">
        <v>0</v>
      </c>
      <c r="X3" s="401">
        <f>MAX(IF(SUM(V11,H8,V12)&gt;430000,SUM(V11,H8,V12)-430000,0)-IF(AND(V11&gt;0,V12&gt;0),IF(SUM(V11,H8,V12)&gt;100000,(MIN(V11,100000)+MIN(V12,100000))-100000,0),0),0)</f>
        <v>890000</v>
      </c>
    </row>
    <row r="4" spans="1:31" ht="12" customHeight="1">
      <c r="A4" s="402"/>
      <c r="B4" s="363" t="s">
        <v>35</v>
      </c>
      <c r="C4" s="363" t="s">
        <v>8</v>
      </c>
      <c r="D4" s="364" t="s">
        <v>9</v>
      </c>
      <c r="E4" s="359" t="s">
        <v>3</v>
      </c>
      <c r="F4" s="359"/>
      <c r="G4" s="359"/>
      <c r="H4" s="359" t="s">
        <v>4</v>
      </c>
      <c r="I4" s="359"/>
      <c r="J4" s="359"/>
      <c r="K4" s="264" t="s">
        <v>42</v>
      </c>
      <c r="L4" s="264"/>
      <c r="M4" s="264"/>
      <c r="N4" s="264"/>
      <c r="O4" s="403" t="s">
        <v>65</v>
      </c>
      <c r="P4" s="404"/>
      <c r="R4" s="405" t="s">
        <v>66</v>
      </c>
      <c r="S4" s="406"/>
      <c r="T4" s="260">
        <f>IF(V2=TRUE,COUNTIF(C6:C23,"&lt;65")-COUNTIF(C6:C23,"&lt;40"),COUNTIF(C9:C23,"&lt;65")-COUNTIF(C9:C23,"&lt;40"))</f>
        <v>0</v>
      </c>
      <c r="U4" s="407" t="s">
        <v>7</v>
      </c>
      <c r="V4" s="388" t="b">
        <f>IF(B8&lt;&gt;"",TRUE,FALSE)</f>
        <v>0</v>
      </c>
    </row>
    <row r="5" spans="1:31" ht="12" customHeight="1" thickBot="1">
      <c r="A5" s="408"/>
      <c r="B5" s="360"/>
      <c r="C5" s="360"/>
      <c r="D5" s="360"/>
      <c r="E5" s="360"/>
      <c r="F5" s="360"/>
      <c r="G5" s="360"/>
      <c r="H5" s="360"/>
      <c r="I5" s="360"/>
      <c r="J5" s="360"/>
      <c r="K5" s="265"/>
      <c r="L5" s="265"/>
      <c r="M5" s="265"/>
      <c r="N5" s="265"/>
      <c r="O5" s="403"/>
      <c r="P5" s="404"/>
      <c r="R5" s="405"/>
      <c r="S5" s="406"/>
      <c r="T5" s="261"/>
      <c r="U5" s="407"/>
      <c r="V5" s="388" t="b">
        <f>IF(B11&lt;&gt;"",TRUE,FALSE)</f>
        <v>1</v>
      </c>
      <c r="W5" s="409"/>
      <c r="AE5" s="390" t="s">
        <v>91</v>
      </c>
    </row>
    <row r="6" spans="1:31" ht="16.5" customHeight="1">
      <c r="A6" s="410">
        <f>COUNTA(B6,E6)</f>
        <v>2</v>
      </c>
      <c r="B6" s="373" t="s">
        <v>87</v>
      </c>
      <c r="C6" s="411">
        <v>66</v>
      </c>
      <c r="D6" s="171" t="s">
        <v>0</v>
      </c>
      <c r="E6" s="412">
        <v>2000000</v>
      </c>
      <c r="F6" s="413"/>
      <c r="G6" s="414"/>
      <c r="H6" s="375">
        <f>IF(AND(Z7=TRUE,E6&gt;0),0.3*IF(E6=0," ",IF(AND(E6=0,OR(A6=0,A6=1))," ",IF(E6&lt;650000,0,IF(E6&lt;1900000,E6-650000,IF(E6&lt;3600000,INT(E6/4000)*4000*0.7-80000,IF(E6&lt;6600000,INT(E6/4000)*4000*0.8-440000,IF(E6&lt;8500000,INT(E6*0.9-1100000),IF(E6&gt;=8500000,INT(E6-1950000))))))))),IF(E6=0," ",IF(AND(E6=0,OR(A6=0,A6=1))," ",IF(E6&lt;650000,0,IF(E6&lt;1900000,E6-650000,IF(E6&lt;3600000,INT(E6/4000)*4000*0.7-80000,IF(E6&lt;6600000,INT(E6/4000)*4000*0.8-440000,IF(E6&lt;8500000,INT(E6*0.9-1100000),IF(E6&gt;=8500000,INT(E6-1950000))))))))))</f>
        <v>1320000</v>
      </c>
      <c r="I6" s="376"/>
      <c r="J6" s="376"/>
      <c r="K6" s="415">
        <f>MAX(IF(SUM(V11,H8,V12)&gt;430000,SUM(V11,H8,V12)-430000,0)-IF(AND(V11&gt;0,V12&gt;0),IF(SUM(V11,V12)&gt;100000,(MIN(V11,100000)+MIN(V12,100000))-100000,0),0),0)</f>
        <v>890000</v>
      </c>
      <c r="L6" s="415"/>
      <c r="M6" s="415"/>
      <c r="N6" s="416"/>
      <c r="O6" s="417"/>
      <c r="P6" s="418"/>
      <c r="R6" s="419"/>
      <c r="S6" s="420"/>
      <c r="T6" s="399"/>
      <c r="U6" s="421"/>
      <c r="V6" s="388" t="b">
        <f>IF(B14&lt;&gt;"",TRUE,FALSE)</f>
        <v>0</v>
      </c>
      <c r="W6" s="409"/>
      <c r="Z6" s="389" t="s">
        <v>65</v>
      </c>
      <c r="AB6" s="422" t="s">
        <v>88</v>
      </c>
      <c r="AD6" s="390" t="s">
        <v>89</v>
      </c>
      <c r="AE6" s="390" t="s">
        <v>90</v>
      </c>
    </row>
    <row r="7" spans="1:31" ht="16.5" customHeight="1" thickBot="1">
      <c r="A7" s="410">
        <f>COUNTA(E7,B6)</f>
        <v>2</v>
      </c>
      <c r="B7" s="374"/>
      <c r="C7" s="423"/>
      <c r="D7" s="153" t="s">
        <v>1</v>
      </c>
      <c r="E7" s="424">
        <v>1200000</v>
      </c>
      <c r="F7" s="425"/>
      <c r="G7" s="426"/>
      <c r="H7" s="308">
        <f>IF(E7=0," ",IF(AND($V$4=TRUE,E7&lt;600000),0,IF(AND($V$4=TRUE,E7&lt;1300000),E7-600000,IF(AND($V$4=TRUE,E7&lt;4100000),E7*0.75-275000,IF(AND($V$4=TRUE,E7&lt;7700000),E7*0.85-685000,IF(AND($V$4=TRUE,E7&lt;=10000000),E7*0.95-1455000,IF(AND($V$4=TRUE,E7&gt;10000000),E7*100%-1955000,IF(AND(C6&lt;65,E7&lt;600000),0,IF(AND(C6&lt;65,E7&lt;1300000),E7-600000,IF(AND(C6&lt;65,E7&lt;4100000),E7*0.75-275000,IF(AND(C6&lt;65,E7&lt;7700000),E7*0.85-685000,IF(AND(C6&lt;65,E7&lt;=10000000),E7*0.95-1455000,IF(AND(C6&lt;65,E7&gt;10000000),E7*100%-1955000,(IF(AND(C6&gt;=65,E7&lt;1100000),0,IF(AND(C6&gt;=65,E7&lt;3300000),E7-1100000,IF(AND(C6&gt;=65,E7&lt;4100000),E7*0.75-275000,IF(AND(C6&gt;=65,E7&lt;7700000),E7*0.85-685000,IF(AND(C6&gt;=65,E7&lt;=10000000),E7*0.95-1455000,IF(AND(C6&gt;=65,E7&gt;10000000),E7*100%-1955000))))))))))))))))))))</f>
        <v>100000</v>
      </c>
      <c r="I7" s="309"/>
      <c r="J7" s="309"/>
      <c r="K7" s="427"/>
      <c r="L7" s="427"/>
      <c r="M7" s="427"/>
      <c r="N7" s="428"/>
      <c r="O7" s="429"/>
      <c r="P7" s="430"/>
      <c r="R7" s="405" t="s">
        <v>67</v>
      </c>
      <c r="S7" s="406"/>
      <c r="T7" s="260">
        <f>IF(V2=TRUE,COUNTIF(C6:C23,"&lt;6"),COUNTIF(C9:C23,"&lt;6"))</f>
        <v>0</v>
      </c>
      <c r="U7" s="407" t="s">
        <v>7</v>
      </c>
      <c r="V7" s="388" t="b">
        <f>IF(B17&lt;&gt;"",TRUE,FALSE)</f>
        <v>0</v>
      </c>
      <c r="W7" s="409"/>
      <c r="Z7" s="389" t="b">
        <f>IF(O6="非自発該当",TRUE,FALSE)</f>
        <v>0</v>
      </c>
      <c r="AB7" s="422" t="s">
        <v>82</v>
      </c>
    </row>
    <row r="8" spans="1:31" ht="16.5" customHeight="1" thickBot="1">
      <c r="A8" s="410">
        <f>COUNTA(H8,B6)</f>
        <v>1</v>
      </c>
      <c r="B8" s="369"/>
      <c r="C8" s="370"/>
      <c r="D8" s="431" t="s">
        <v>2</v>
      </c>
      <c r="E8" s="242"/>
      <c r="F8" s="243"/>
      <c r="G8" s="244"/>
      <c r="H8" s="432"/>
      <c r="I8" s="433"/>
      <c r="J8" s="434"/>
      <c r="K8" s="435"/>
      <c r="L8" s="436"/>
      <c r="M8" s="436"/>
      <c r="N8" s="437"/>
      <c r="O8" s="438"/>
      <c r="P8" s="439"/>
      <c r="R8" s="405"/>
      <c r="S8" s="406"/>
      <c r="T8" s="261"/>
      <c r="U8" s="407"/>
      <c r="V8" s="388" t="b">
        <f>IF(B20&lt;&gt;"",TRUE,FALSE)</f>
        <v>0</v>
      </c>
      <c r="W8" s="409"/>
      <c r="AB8" s="422" t="s">
        <v>82</v>
      </c>
    </row>
    <row r="9" spans="1:31" ht="16.5" customHeight="1">
      <c r="A9" s="410">
        <f>COUNTA(E9,B9)</f>
        <v>2</v>
      </c>
      <c r="B9" s="371" t="s">
        <v>23</v>
      </c>
      <c r="C9" s="411">
        <v>65</v>
      </c>
      <c r="D9" s="154" t="s">
        <v>0</v>
      </c>
      <c r="E9" s="412">
        <v>2000000</v>
      </c>
      <c r="F9" s="413"/>
      <c r="G9" s="414"/>
      <c r="H9" s="249">
        <f>IF(AND(Z10=TRUE,E9&gt;0),0.3*IF(E9=0," ",IF(AND(E9=0,OR(A9=0,A9=1))," ",IF(E9&lt;650000,0,IF(E9&lt;1900000,E9-650000,IF(E9&lt;3600000,INT(E9/4000)*4000*0.7-80000,IF(E9&lt;6600000,INT(E9/4000)*4000*0.8-440000,IF(E9&lt;8500000,INT(E9*0.9-1100000),IF(E9&gt;=8500000,INT(E9-1950000))))))))),IF(E9=0," ",IF(AND(E9=0,OR(A9=0,A9=1))," ",IF(E9&lt;650000,0,IF(E9&lt;1900000,E9-650000,IF(E9&lt;3600000,INT(E9/4000)*4000*0.7-80000,IF(E9&lt;6600000,INT(E9/4000)*4000*0.8-440000,IF(E9&lt;8500000,INT(E9*0.9-1100000),IF(E9&gt;=8500000,INT(E9-1950000))))))))))</f>
        <v>1320000</v>
      </c>
      <c r="I9" s="250"/>
      <c r="J9" s="250"/>
      <c r="K9" s="440">
        <f>MAX(IF(SUM(V14,H11,V15)&gt;430000,SUM(V14,H11,V15)-430000,0)-IF(AND(V14&gt;0,V15&gt;0),IF(SUM(V14,V15)&gt;100000,(MIN(V14,100000)+MIN(V15,100000))-100000,0),0),0)</f>
        <v>1390000</v>
      </c>
      <c r="L9" s="440"/>
      <c r="M9" s="440"/>
      <c r="N9" s="440"/>
      <c r="O9" s="429"/>
      <c r="P9" s="430"/>
      <c r="R9" s="400"/>
      <c r="S9" s="399"/>
      <c r="T9" s="399"/>
      <c r="U9" s="421"/>
      <c r="V9" s="388" t="b">
        <f>IF(B23&lt;&gt;"",TRUE,FALSE)</f>
        <v>0</v>
      </c>
      <c r="W9" s="409"/>
      <c r="AB9" s="422"/>
    </row>
    <row r="10" spans="1:31" ht="16.5" customHeight="1" thickBot="1">
      <c r="A10" s="410">
        <f>COUNTA(E10,B9)</f>
        <v>2</v>
      </c>
      <c r="B10" s="372"/>
      <c r="C10" s="423"/>
      <c r="D10" s="152" t="s">
        <v>1</v>
      </c>
      <c r="E10" s="424">
        <v>1200000</v>
      </c>
      <c r="F10" s="425"/>
      <c r="G10" s="426"/>
      <c r="H10" s="313">
        <f>IF(E10=0," ",IF(AND($V$5=TRUE,E10&lt;600000),0,IF(AND($V$5=TRUE,E10&lt;1300000),E10-600000,IF(AND($V$5=TRUE,E10&lt;4100000),E10*0.75-275000,IF(AND($V$5=TRUE,E10&lt;7700000),E10*0.85-685000,IF(AND($V$5=TRUE,E10&lt;=10000000),E10*0.95-1455000,IF(AND($V$5=TRUE,E10&gt;10000000),E10*100%-1955000,IF(AND(C9&lt;65,E10&lt;600000),0,IF(AND(C9&lt;65,E10&lt;1300000),E10-600000,IF(AND(C9&lt;65,E10&lt;4100000),E10*0.75-275000,IF(AND(C9&lt;65,E10&lt;7700000),E10*0.85-685000,IF(AND(C9&lt;65,E10&lt;=10000000),E10*0.95-1455000,IF(AND(C9&lt;65,E10&gt;10000000),E10*100%-1955000,(IF(AND(C9&gt;=65,E10&lt;1100000),0,IF(AND(C9&gt;=65,E10&lt;3300000),E10-1100000,IF(AND(C9&gt;=65,E10&lt;4100000),E10*0.75-275000,IF(AND(C9&gt;=65,E10&lt;7700000),E10*0.85-685000,IF(AND(C9&gt;=65,E10&lt;=10000000),E10*0.95-1455000,IF(AND(C9&gt;=65,E10&gt;10000000),E10*100%-1955000))))))))))))))))))))</f>
        <v>600000</v>
      </c>
      <c r="I10" s="314"/>
      <c r="J10" s="314"/>
      <c r="K10" s="441"/>
      <c r="L10" s="441"/>
      <c r="M10" s="441"/>
      <c r="N10" s="441"/>
      <c r="O10" s="429"/>
      <c r="P10" s="430"/>
      <c r="R10" s="405" t="s">
        <v>68</v>
      </c>
      <c r="S10" s="406"/>
      <c r="T10" s="260">
        <f>IF(V2=TRUE,COUNTIF(C6:C23,"&gt;=18"),COUNTIF(C9:C23,"&gt;=18"))</f>
        <v>5</v>
      </c>
      <c r="U10" s="407" t="s">
        <v>7</v>
      </c>
      <c r="V10" s="409"/>
      <c r="W10" s="409"/>
      <c r="Z10" s="389" t="b">
        <f>IF(O9="非自発該当",TRUE,FALSE)</f>
        <v>0</v>
      </c>
      <c r="AB10" s="422" t="s">
        <v>82</v>
      </c>
    </row>
    <row r="11" spans="1:31" ht="16.5" customHeight="1" thickBot="1">
      <c r="A11" s="410">
        <f>COUNTA(H11,B9)</f>
        <v>1</v>
      </c>
      <c r="B11" s="369" t="s">
        <v>88</v>
      </c>
      <c r="C11" s="370"/>
      <c r="D11" s="442" t="s">
        <v>2</v>
      </c>
      <c r="E11" s="233"/>
      <c r="F11" s="234"/>
      <c r="G11" s="235"/>
      <c r="H11" s="432"/>
      <c r="I11" s="433"/>
      <c r="J11" s="434"/>
      <c r="K11" s="443"/>
      <c r="L11" s="444"/>
      <c r="M11" s="444"/>
      <c r="N11" s="444"/>
      <c r="O11" s="429"/>
      <c r="P11" s="430"/>
      <c r="R11" s="405"/>
      <c r="S11" s="406"/>
      <c r="T11" s="261"/>
      <c r="U11" s="407"/>
      <c r="V11" s="445">
        <f>IF(H6=" ",0,H6)</f>
        <v>1320000</v>
      </c>
      <c r="W11" s="409"/>
      <c r="AB11" s="422" t="s">
        <v>82</v>
      </c>
    </row>
    <row r="12" spans="1:31" ht="16.5" customHeight="1">
      <c r="A12" s="410">
        <f>COUNTA(E12,B12)</f>
        <v>2</v>
      </c>
      <c r="B12" s="371" t="s">
        <v>22</v>
      </c>
      <c r="C12" s="411">
        <v>22</v>
      </c>
      <c r="D12" s="171" t="s">
        <v>0</v>
      </c>
      <c r="E12" s="446">
        <v>900000</v>
      </c>
      <c r="F12" s="447"/>
      <c r="G12" s="448"/>
      <c r="H12" s="306">
        <f>IF(AND(Z13=TRUE,E12&gt;0),0.3*IF(E12=0," ",IF(AND(E12=0,OR(A12=0,A12=1))," ",IF(E12&lt;650000,0,IF(E12&lt;1900000,E12-650000,IF(E12&lt;3600000,INT(E12/4000)*4000*0.7-80000,IF(E12&lt;6600000,INT(E12/4000)*4000*0.8-440000,IF(E12&lt;8500000,INT(E12*0.9-1100000),IF(E12&gt;=8500000,INT(E12-1950000))))))))),IF(E12=0," ",IF(AND(E12=0,OR(A12=0,A12=1))," ",IF(E12&lt;650000,0,IF(E12&lt;1900000,E12-650000,IF(E12&lt;3600000,INT(E12/4000)*4000*0.7-80000,IF(E12&lt;6600000,INT(E12/4000)*4000*0.8-440000,IF(E12&lt;8500000,INT(E12*0.9-1100000),IF(E12&gt;=8500000,INT(E12-1950000))))))))))</f>
        <v>250000</v>
      </c>
      <c r="I12" s="307"/>
      <c r="J12" s="307"/>
      <c r="K12" s="415">
        <f>MAX(IF(SUM(V17,H14,V18)&gt;430000,SUM(V17,H14,V18)-430000,0)-IF(AND(V17&gt;0,V18&gt;0),IF(SUM(V17,V18)&gt;100000,(MIN(V17,100000)+MIN(V18,100000))-100000,0),0),0)</f>
        <v>0</v>
      </c>
      <c r="L12" s="415"/>
      <c r="M12" s="415"/>
      <c r="N12" s="416"/>
      <c r="O12" s="417"/>
      <c r="P12" s="418"/>
      <c r="R12" s="382"/>
      <c r="S12" s="383"/>
      <c r="T12" s="449"/>
      <c r="U12" s="398"/>
      <c r="V12" s="450">
        <f>IF(H7=" ",0,H7)</f>
        <v>100000</v>
      </c>
      <c r="AB12" s="422"/>
    </row>
    <row r="13" spans="1:31" ht="16.5" customHeight="1" thickBot="1">
      <c r="A13" s="410">
        <f t="shared" ref="A13:A22" si="0">COUNTA(E13,B12)</f>
        <v>1</v>
      </c>
      <c r="B13" s="372"/>
      <c r="C13" s="423"/>
      <c r="D13" s="153" t="s">
        <v>1</v>
      </c>
      <c r="E13" s="451"/>
      <c r="F13" s="452"/>
      <c r="G13" s="453"/>
      <c r="H13" s="308" t="str">
        <f>IF(E13=0," ",IF(AND($V$6=TRUE,E13&lt;600000),0,IF(AND($V$6=TRUE,E13&lt;1300000),E13-600000,IF(AND($V$6=TRUE,E13&lt;4100000),E13*0.75-275000,IF(AND($V$6=TRUE,E13&lt;7700000),E13*0.85-685000,IF(AND($V$6=TRUE,E13&lt;=10000000),E13*0.95-1455000,IF(AND($V$6=TRUE,E13&gt;10000000),E13*100%-1955000,IF(AND(C12&lt;65,E13&lt;600000),0,IF(AND(C12&lt;65,E13&lt;1300000),E13-600000,IF(AND(C12&lt;65,E13&lt;4100000),E13*0.75-275000,IF(AND(C12&lt;65,E13&lt;7700000),E13*0.85-685000,IF(AND(C12&lt;65,E13&lt;=10000000),E13*0.95-1455000,IF(AND(C12&lt;65,E13&gt;10000000),E13*100%-1955000,(IF(AND(C12&gt;=65,E13&lt;1100000),0,IF(AND(C12&gt;=65,E13&lt;3300000),E13-1100000,IF(AND(C12&gt;=65,E13&lt;4100000),E13*0.75-275000,IF(AND(C12&gt;=65,E13&lt;7700000),E13*0.85-685000,IF(AND(C12&gt;=65,E13&lt;=10000000),E13*0.95-1455000,IF(AND(C12&gt;=65,E13&gt;10000000),E13*100%-1955000))))))))))))))))))))</f>
        <v xml:space="preserve"> </v>
      </c>
      <c r="I13" s="309"/>
      <c r="J13" s="309"/>
      <c r="K13" s="427"/>
      <c r="L13" s="427"/>
      <c r="M13" s="427"/>
      <c r="N13" s="428"/>
      <c r="O13" s="429"/>
      <c r="P13" s="430"/>
      <c r="R13" s="454" t="s">
        <v>10</v>
      </c>
      <c r="S13" s="455"/>
      <c r="T13" s="456"/>
      <c r="U13" s="398"/>
      <c r="V13" s="457"/>
      <c r="Z13" s="389" t="b">
        <f>IF(O12="非自発該当",TRUE,FALSE)</f>
        <v>0</v>
      </c>
      <c r="AB13" s="422" t="s">
        <v>82</v>
      </c>
    </row>
    <row r="14" spans="1:31" ht="16.5" customHeight="1" thickBot="1">
      <c r="A14" s="410">
        <f>COUNTA(H14,B12)</f>
        <v>1</v>
      </c>
      <c r="B14" s="369"/>
      <c r="C14" s="370"/>
      <c r="D14" s="458" t="s">
        <v>2</v>
      </c>
      <c r="E14" s="242"/>
      <c r="F14" s="243"/>
      <c r="G14" s="244"/>
      <c r="H14" s="432"/>
      <c r="I14" s="433"/>
      <c r="J14" s="434"/>
      <c r="K14" s="459"/>
      <c r="L14" s="460"/>
      <c r="M14" s="460"/>
      <c r="N14" s="461"/>
      <c r="O14" s="438"/>
      <c r="P14" s="439"/>
      <c r="R14" s="462"/>
      <c r="S14" s="463"/>
      <c r="T14" s="464"/>
      <c r="U14" s="398"/>
      <c r="V14" s="457">
        <f>IF(H9=" ",0,H9)</f>
        <v>1320000</v>
      </c>
      <c r="AB14" s="422" t="s">
        <v>82</v>
      </c>
    </row>
    <row r="15" spans="1:31" ht="16.5" customHeight="1">
      <c r="A15" s="410">
        <f>COUNTA(E15,B15)</f>
        <v>1</v>
      </c>
      <c r="B15" s="371" t="s">
        <v>22</v>
      </c>
      <c r="C15" s="411">
        <v>21</v>
      </c>
      <c r="D15" s="173" t="s">
        <v>0</v>
      </c>
      <c r="E15" s="412"/>
      <c r="F15" s="413"/>
      <c r="G15" s="414"/>
      <c r="H15" s="249" t="str">
        <f>IF(AND(Z16=TRUE,E15&gt;0),0.3*IF(E15=0," ",IF(AND(E15=0,OR(A15=0,A15=1))," ",IF(E15&lt;650000,0,IF(E15&lt;1900000,E15-650000,IF(E15&lt;3600000,INT(E15/4000)*4000*0.7-80000,IF(E15&lt;6600000,INT(E15/4000)*4000*0.8-440000,IF(E15&lt;8500000,INT(E15*0.9-1100000),IF(E15&gt;=8500000,INT(E15-1950000))))))))),IF(E15=0," ",IF(AND(E15=0,OR(A15=0,A15=1))," ",IF(E15&lt;650000,0,IF(E15&lt;1900000,E15-650000,IF(E15&lt;3600000,INT(E15/4000)*4000*0.7-80000,IF(E15&lt;6600000,INT(E15/4000)*4000*0.8-440000,IF(E15&lt;8500000,INT(E15*0.9-1100000),IF(E15&gt;=8500000,INT(E15-1950000))))))))))</f>
        <v xml:space="preserve"> </v>
      </c>
      <c r="I15" s="250"/>
      <c r="J15" s="250"/>
      <c r="K15" s="465">
        <f>MAX(IF(SUM(V20,H17,V21)&gt;430000,SUM(V20,H17,V21)-430000,0)-IF(AND(V20&gt;0,V21&gt;0),IF(SUM(V20,V21)&gt;100000,(MIN(V20,100000)+MIN(V21,100000))-100000,0),0),0)</f>
        <v>370000</v>
      </c>
      <c r="L15" s="465"/>
      <c r="M15" s="465"/>
      <c r="N15" s="466"/>
      <c r="O15" s="429"/>
      <c r="P15" s="430"/>
      <c r="R15" s="294">
        <f>IF(V2=TRUE,SUM(K6:N23),SUM(K9:N23))</f>
        <v>2650000</v>
      </c>
      <c r="S15" s="295"/>
      <c r="T15" s="296"/>
      <c r="U15" s="398"/>
      <c r="V15" s="457">
        <f>IF(H10=" ",0,H10)</f>
        <v>600000</v>
      </c>
      <c r="AB15" s="422"/>
    </row>
    <row r="16" spans="1:31" ht="16.5" customHeight="1" thickBot="1">
      <c r="A16" s="410">
        <f t="shared" si="0"/>
        <v>1</v>
      </c>
      <c r="B16" s="372"/>
      <c r="C16" s="423"/>
      <c r="D16" s="152" t="s">
        <v>1</v>
      </c>
      <c r="E16" s="451"/>
      <c r="F16" s="452"/>
      <c r="G16" s="453"/>
      <c r="H16" s="313" t="str">
        <f>IF(E16=0," ",IF(AND($V$7=TRUE,E16&lt;600000),0,IF(AND($V$7=TRUE,E16&lt;1300000),E16-600000,IF(AND($V$7=TRUE,E16&lt;4100000),E16*0.75-275000,IF(AND($V$7=TRUE,E16&lt;7700000),E16*0.85-685000,IF(AND($V$7=TRUE,E16&lt;=10000000),E16*0.95-1455000,IF(AND($V$7=TRUE,E16&gt;10000000),E16*100%-1955000,IF(AND(C15&lt;65,E16&lt;600000),0,IF(AND(C15&lt;65,E16&lt;1300000),E16-600000,IF(AND(C15&lt;65,E16&lt;4100000),E16*0.75-275000,IF(AND(C15&lt;65,E16&lt;7700000),E16*0.85-685000,IF(AND(C15&lt;65,E16&lt;=10000000),E16*0.95-1455000,IF(AND(C15&lt;65,E16&gt;10000000),E16*100%-1955000,(IF(AND(C15&gt;=65,E16&lt;1100000),0,IF(AND(C15&gt;=65,E16&lt;3300000),E16-1100000,IF(AND(C15&gt;=65,E16&lt;4100000),E16*0.75-275000,IF(AND(C15&gt;=65,E16&lt;7700000),E16*0.85-685000,IF(AND(C15&gt;=65,E16&lt;=10000000),E16*0.95-1455000,IF(AND(C15&gt;=65,E16&gt;10000000),E16*100%-1955000))))))))))))))))))))</f>
        <v xml:space="preserve"> </v>
      </c>
      <c r="I16" s="314"/>
      <c r="J16" s="314"/>
      <c r="K16" s="441"/>
      <c r="L16" s="441"/>
      <c r="M16" s="441"/>
      <c r="N16" s="467"/>
      <c r="O16" s="429"/>
      <c r="P16" s="430"/>
      <c r="R16" s="297"/>
      <c r="S16" s="298"/>
      <c r="T16" s="299"/>
      <c r="U16" s="398"/>
      <c r="V16" s="457"/>
      <c r="Z16" s="389" t="b">
        <f>IF(O15="非自発該当",TRUE,FALSE)</f>
        <v>0</v>
      </c>
      <c r="AB16" s="422"/>
    </row>
    <row r="17" spans="1:36" ht="16.5" customHeight="1" thickBot="1">
      <c r="A17" s="410">
        <f>COUNTA(H17,B15)</f>
        <v>2</v>
      </c>
      <c r="B17" s="369"/>
      <c r="C17" s="370"/>
      <c r="D17" s="442" t="s">
        <v>2</v>
      </c>
      <c r="E17" s="233"/>
      <c r="F17" s="234"/>
      <c r="G17" s="235"/>
      <c r="H17" s="432">
        <v>800000</v>
      </c>
      <c r="I17" s="433"/>
      <c r="J17" s="434"/>
      <c r="K17" s="468"/>
      <c r="L17" s="469"/>
      <c r="M17" s="469"/>
      <c r="N17" s="470"/>
      <c r="O17" s="429"/>
      <c r="P17" s="430"/>
      <c r="R17" s="398"/>
      <c r="S17" s="471"/>
      <c r="T17" s="398"/>
      <c r="U17" s="398"/>
      <c r="V17" s="457">
        <f>IF(H12=" ",0,H12)</f>
        <v>250000</v>
      </c>
      <c r="AB17" s="422" t="s">
        <v>82</v>
      </c>
    </row>
    <row r="18" spans="1:36" ht="16.5" customHeight="1">
      <c r="A18" s="410">
        <f>COUNTA(E18,B18)</f>
        <v>2</v>
      </c>
      <c r="B18" s="371" t="s">
        <v>22</v>
      </c>
      <c r="C18" s="411">
        <v>20</v>
      </c>
      <c r="D18" s="171" t="s">
        <v>0</v>
      </c>
      <c r="E18" s="472">
        <v>900000</v>
      </c>
      <c r="F18" s="473"/>
      <c r="G18" s="474"/>
      <c r="H18" s="306">
        <f>IF(AND(Z19=TRUE,E18&gt;0),0.3*IF(E18=0," ",IF(AND(E18=0,OR(A18=0,A18=1))," ",IF(E18&lt;650000,0,IF(E18&lt;1900000,E18-650000,IF(E18&lt;3600000,INT(E18/4000)*4000*0.7-80000,IF(E18&lt;6600000,INT(E18/4000)*4000*0.8-440000,IF(E18&lt;8500000,INT(E18*0.9-1100000),IF(E18&gt;=8500000,INT(E18-1950000))))))))),IF(E18=0," ",IF(AND(E18=0,OR(A18=0,A18=1))," ",IF(E18&lt;650000,0,IF(E18&lt;1900000,E18-650000,IF(E18&lt;3600000,INT(E18/4000)*4000*0.7-80000,IF(E18&lt;6600000,INT(E18/4000)*4000*0.8-440000,IF(E18&lt;8500000,INT(E18*0.9-1100000),IF(E18&gt;=8500000,INT(E18-1950000))))))))))</f>
        <v>75000</v>
      </c>
      <c r="I18" s="307"/>
      <c r="J18" s="307"/>
      <c r="K18" s="415">
        <f>MAX(IF(SUM(V23,H20,V24)&gt;430000,SUM(V23,H20,V24)-430000,0)-IF(AND(V23&gt;0,V24&gt;0),IF(SUM(V23,V24)&gt;100000,(MIN(V23,100000)+MIN(V24,100000))-100000,0),0),0)</f>
        <v>0</v>
      </c>
      <c r="L18" s="415"/>
      <c r="M18" s="415"/>
      <c r="N18" s="416"/>
      <c r="O18" s="417" t="s">
        <v>89</v>
      </c>
      <c r="P18" s="418"/>
      <c r="U18" s="398"/>
      <c r="V18" s="457">
        <f>IF(H13=" ",0,H13)</f>
        <v>0</v>
      </c>
      <c r="AB18" s="422"/>
    </row>
    <row r="19" spans="1:36" ht="16.5" customHeight="1" thickBot="1">
      <c r="A19" s="410">
        <f t="shared" si="0"/>
        <v>1</v>
      </c>
      <c r="B19" s="372"/>
      <c r="C19" s="423"/>
      <c r="D19" s="153" t="s">
        <v>1</v>
      </c>
      <c r="E19" s="475"/>
      <c r="F19" s="476"/>
      <c r="G19" s="477"/>
      <c r="H19" s="308" t="str">
        <f>IF(E19=0," ",IF(AND($V$8=TRUE,E19&lt;600000),0,IF(AND($V$8=TRUE,E19&lt;1300000),E19-600000,IF(AND($V$8=TRUE,E19&lt;4100000),E19*0.75-275000,IF(AND($V$8=TRUE,E19&lt;7700000),E19*0.85-685000,IF(AND($V$8=TRUE,E19&lt;=10000000),E19*0.95-1455000,IF(AND($V$8=TRUE,E19&gt;10000000),E19*100%-1955000,IF(AND(C18&lt;65,E19&lt;600000),0,IF(AND(C18&lt;65,E19&lt;1300000),E19-600000,IF(AND(C18&lt;65,E19&lt;4100000),E19*0.75-275000,IF(AND(C18&lt;65,E19&lt;7700000),E19*0.85-685000,IF(AND(C18&lt;65,E19&lt;=10000000),E19*0.95-1455000,IF(AND(C18&lt;65,E19&gt;10000000),E19*100%-1955000,(IF(AND(C18&gt;=65,E19&lt;1100000),0,IF(AND(C18&gt;=65,E19&lt;3300000),E19-1100000,IF(AND(C18&gt;=65,E19&lt;4100000),E19*0.75-275000,IF(AND(C18&gt;=65,E19&lt;7700000),E19*0.85-685000,IF(AND(C18&gt;=65,E19&lt;=10000000),E19*0.95-1455000,IF(AND(C18&gt;=65,E19&gt;10000000),E19*100%-1955000))))))))))))))))))))</f>
        <v xml:space="preserve"> </v>
      </c>
      <c r="I19" s="309"/>
      <c r="J19" s="309"/>
      <c r="K19" s="427"/>
      <c r="L19" s="427"/>
      <c r="M19" s="427"/>
      <c r="N19" s="428"/>
      <c r="O19" s="429"/>
      <c r="P19" s="430"/>
      <c r="R19" s="478" t="s">
        <v>74</v>
      </c>
      <c r="S19" s="479"/>
      <c r="T19" s="480"/>
      <c r="U19" s="398"/>
      <c r="V19" s="457"/>
      <c r="Z19" s="389" t="b">
        <f>IF(O18="非自発該当",TRUE,FALSE)</f>
        <v>1</v>
      </c>
      <c r="AB19" s="422" t="s">
        <v>82</v>
      </c>
      <c r="AC19" s="162" t="s">
        <v>71</v>
      </c>
    </row>
    <row r="20" spans="1:36" ht="16.5" customHeight="1" thickBot="1">
      <c r="A20" s="410">
        <f>COUNTA(H20,B18)</f>
        <v>1</v>
      </c>
      <c r="B20" s="369"/>
      <c r="C20" s="370"/>
      <c r="D20" s="481" t="s">
        <v>2</v>
      </c>
      <c r="E20" s="242"/>
      <c r="F20" s="243"/>
      <c r="G20" s="244"/>
      <c r="H20" s="432"/>
      <c r="I20" s="433"/>
      <c r="J20" s="434"/>
      <c r="K20" s="435"/>
      <c r="L20" s="436"/>
      <c r="M20" s="436"/>
      <c r="N20" s="437"/>
      <c r="O20" s="438"/>
      <c r="P20" s="439"/>
      <c r="R20" s="482"/>
      <c r="S20" s="483"/>
      <c r="T20" s="484"/>
      <c r="U20" s="398"/>
      <c r="V20" s="457">
        <f>IF(H15=" ",0,H15)</f>
        <v>0</v>
      </c>
      <c r="AB20" s="422" t="s">
        <v>82</v>
      </c>
      <c r="AC20" s="162" t="s">
        <v>23</v>
      </c>
    </row>
    <row r="21" spans="1:36" s="489" customFormat="1" ht="16.5" customHeight="1">
      <c r="A21" s="485">
        <f>COUNTA(E21,B21)</f>
        <v>0</v>
      </c>
      <c r="B21" s="371"/>
      <c r="C21" s="411"/>
      <c r="D21" s="178" t="s">
        <v>0</v>
      </c>
      <c r="E21" s="486"/>
      <c r="F21" s="487"/>
      <c r="G21" s="488"/>
      <c r="H21" s="249" t="str">
        <f>IF(AND(Z22=TRUE,E21&gt;0),0.3*IF(E21=0," ",IF(AND(E21=0,OR(A21=0,A21=1))," ",IF(E21&lt;650000,0,IF(E21&lt;1900000,E21-650000,IF(E21&lt;3600000,INT(E21/4000)*4000*0.7-80000,IF(E21&lt;6600000,INT(E21/4000)*4000*0.8-440000,IF(E21&lt;8500000,INT(E21*0.9-1100000),IF(E21&gt;=8500000,INT(E21-1950000))))))))),IF(E21=0," ",IF(AND(E21=0,OR(A21=0,A21=1))," ",IF(E21&lt;650000,0,IF(E21&lt;1900000,E21-650000,IF(E21&lt;3600000,INT(E21/4000)*4000*0.7-80000,IF(E21&lt;6600000,INT(E21/4000)*4000*0.8-440000,IF(E21&lt;8500000,INT(E21*0.9-1100000),IF(E21&gt;=8500000,INT(E21-1950000))))))))))</f>
        <v xml:space="preserve"> </v>
      </c>
      <c r="I21" s="250"/>
      <c r="J21" s="250"/>
      <c r="K21" s="465">
        <f>MAX(IF(SUM(V25,H23,V27)&gt;430000,SUM(V25,H23,V27)-430000,0)-IF(AND(V25&gt;0,V27&gt;0),IF(SUM(V25,V27)&gt;100000,(MIN(V25,100000)+MIN(V27,100000))-100000,0),0),0)</f>
        <v>0</v>
      </c>
      <c r="L21" s="465"/>
      <c r="M21" s="465"/>
      <c r="N21" s="466"/>
      <c r="O21" s="429"/>
      <c r="P21" s="430"/>
      <c r="R21" s="490">
        <f>IF(V2=TRUE,SUMIF(C6:C23,"&lt;65",K6:N23)-SUMIF(C6:C23,"&lt;40",K6:N23),SUMIF(C9:C23,"&lt;65",K9:N23)-SUMIF(C9:C23,"&lt;40",K9:N23))</f>
        <v>0</v>
      </c>
      <c r="S21" s="491"/>
      <c r="T21" s="492"/>
      <c r="U21" s="493"/>
      <c r="V21" s="401">
        <f>IF(H16=" ",0,H16)</f>
        <v>0</v>
      </c>
      <c r="W21" s="401"/>
      <c r="X21" s="401"/>
      <c r="Y21" s="401"/>
      <c r="Z21" s="401"/>
      <c r="AA21" s="494"/>
      <c r="AB21" s="422"/>
      <c r="AC21" s="162" t="s">
        <v>22</v>
      </c>
      <c r="AD21" s="494"/>
      <c r="AE21" s="494"/>
      <c r="AF21" s="494"/>
      <c r="AG21" s="495"/>
      <c r="AH21" s="495"/>
      <c r="AI21" s="495"/>
      <c r="AJ21" s="495"/>
    </row>
    <row r="22" spans="1:36" ht="16.5" customHeight="1" thickBot="1">
      <c r="A22" s="410">
        <f t="shared" si="0"/>
        <v>0</v>
      </c>
      <c r="B22" s="372"/>
      <c r="C22" s="423"/>
      <c r="D22" s="152" t="s">
        <v>1</v>
      </c>
      <c r="E22" s="451"/>
      <c r="F22" s="452"/>
      <c r="G22" s="453"/>
      <c r="H22" s="313" t="str">
        <f>IF(E22=0," ",IF(AND($V$9=TRUE,E22&lt;600000),0,IF(AND($V$9=TRUE,E22&lt;1300000),E22-600000,IF(AND($V$9=TRUE,E22&lt;4100000),E22*0.75-275000,IF(AND($V$9=TRUE,E22&lt;7700000),E22*0.85-685000,IF(AND($V$9=TRUE,E22&lt;=10000000),E22*0.95-1455000,IF(AND($V$9=TRUE,E22&gt;10000000),E22*100%-1955000,IF(AND(C21&lt;65,E22&lt;600000),0,IF(AND(C21&lt;65,E22&lt;1300000),E22-600000,IF(AND(C21&lt;65,E22&lt;4100000),E22*0.75-275000,IF(AND(C21&lt;65,E22&lt;7700000),E22*0.85-685000,IF(AND(C21&lt;65,E22&lt;=10000000),E22*0.95-1455000,IF(AND(C21&lt;65,E22&gt;10000000),E22*100%-1955000,(IF(AND(C21&gt;=65,E22&lt;1100000),0,IF(AND(C21&gt;=65,E22&lt;3300000),E22-1100000,IF(AND(C21&gt;=65,E22&lt;4100000),E22*0.75-275000,IF(AND(C21&gt;=65,E22&lt;7700000),E22*0.85-685000,IF(AND(C21&gt;=65,E22&lt;=10000000),E22*0.95-1455000,IF(AND(C21&gt;=65,E22&gt;10000000),E22*100%-1955000))))))))))))))))))))</f>
        <v xml:space="preserve"> </v>
      </c>
      <c r="I22" s="314"/>
      <c r="J22" s="314"/>
      <c r="K22" s="441"/>
      <c r="L22" s="441"/>
      <c r="M22" s="441"/>
      <c r="N22" s="467"/>
      <c r="O22" s="429"/>
      <c r="P22" s="430"/>
      <c r="R22" s="496"/>
      <c r="S22" s="497"/>
      <c r="T22" s="498"/>
      <c r="U22" s="398"/>
      <c r="V22" s="457"/>
      <c r="Z22" s="389" t="b">
        <f>IF(O21="非自発該当",TRUE,FALSE)</f>
        <v>0</v>
      </c>
      <c r="AB22" s="422" t="s">
        <v>82</v>
      </c>
    </row>
    <row r="23" spans="1:36" ht="16.5" customHeight="1" thickBot="1">
      <c r="A23" s="410">
        <f>COUNTA(H23,B21)</f>
        <v>0</v>
      </c>
      <c r="B23" s="369"/>
      <c r="C23" s="370"/>
      <c r="D23" s="177" t="s">
        <v>2</v>
      </c>
      <c r="E23" s="325"/>
      <c r="F23" s="326"/>
      <c r="G23" s="327"/>
      <c r="H23" s="499"/>
      <c r="I23" s="433"/>
      <c r="J23" s="434"/>
      <c r="K23" s="468"/>
      <c r="L23" s="469"/>
      <c r="M23" s="469"/>
      <c r="N23" s="470"/>
      <c r="O23" s="438"/>
      <c r="P23" s="439"/>
      <c r="Q23" s="500"/>
      <c r="R23" s="398"/>
      <c r="S23" s="471"/>
      <c r="T23" s="398"/>
      <c r="U23" s="398"/>
      <c r="V23" s="457">
        <f>IF(H18=" ",0,H18)</f>
        <v>75000</v>
      </c>
      <c r="AB23" s="422" t="s">
        <v>82</v>
      </c>
    </row>
    <row r="24" spans="1:36" ht="16.5" customHeight="1">
      <c r="A24" s="402"/>
      <c r="B24" s="501" t="s">
        <v>48</v>
      </c>
      <c r="C24" s="27"/>
      <c r="D24" s="28"/>
      <c r="E24" s="30"/>
      <c r="F24" s="30"/>
      <c r="G24" s="30"/>
      <c r="H24" s="30"/>
      <c r="I24" s="502"/>
      <c r="J24" s="502"/>
      <c r="N24" s="503"/>
      <c r="O24" s="504" t="s">
        <v>85</v>
      </c>
      <c r="P24" s="505">
        <f>IF(OR(V28=TRUE,V3=TRUE),"判定なし",
IF(軽減所得!I7&lt;=1,軽減早見表!C5,
IF(AND(T1=1,軽減所得!I7=2),軽減早見表!C6,
IF(AND(T1=2,軽減所得!I7=2),軽減早見表!D6,
IF(AND(T1=2,軽減所得!I7=3),軽減早見表!D7,
IF(AND(T1=3,軽減所得!I7=2),軽減早見表!E6,
IF(AND(T1=3,軽減所得!I7=3),軽減早見表!E7,
IF(AND(T1=3,軽減所得!I7=4),軽減早見表!E8,
IF(AND(T1=4,軽減所得!I7=2),軽減早見表!F6,
IF(AND(T1=4,軽減所得!I7=3),軽減早見表!F7,
IF(AND(T1=4,軽減所得!I7=4),軽減早見表!F8,
IF(AND(T1=4,軽減所得!I7=5),軽減早見表!F9,
IF(AND(T1=5,軽減所得!I7=2),軽減早見表!G6,
IF(AND(T1=5,軽減所得!I7=3),軽減早見表!G7,
IF(AND(T1=5,軽減所得!I7=4),軽減早見表!G8,
IF(AND(T1=5,軽減所得!I7=5),軽減早見表!G9,
IF(AND(T1=5,軽減所得!I7=6),軽減早見表!G10,
IF(AND(T1=6,軽減所得!I7=2),軽減早見表!H6,
IF(AND(T1=6,軽減所得!I7=3),軽減早見表!H7,
IF(AND(T1=6,軽減所得!I7=4),軽減早見表!H8,
IF(AND(T1=6,軽減所得!I7=5),軽減早見表!H9,
IF(AND(T1=6,軽減所得!I7=6),軽減早見表!H10, "エラー"))))))))))))))))))))))</f>
        <v>430000</v>
      </c>
      <c r="Q24" s="505"/>
      <c r="R24" s="506" t="s">
        <v>25</v>
      </c>
      <c r="S24" s="507"/>
      <c r="T24" s="508"/>
      <c r="U24" s="398"/>
      <c r="V24" s="457">
        <f>IF(H19=" ",0,H19)</f>
        <v>0</v>
      </c>
    </row>
    <row r="25" spans="1:36" ht="15" customHeight="1">
      <c r="A25" s="509"/>
      <c r="B25" s="27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1"/>
      <c r="O25" s="512" t="s">
        <v>84</v>
      </c>
      <c r="P25" s="513">
        <f>IF(OR(V28=TRUE,V3=TRUE),"判定なし",
IF(AND(T1=1,軽減所得!I7&lt;=1),軽減早見表!C19,
IF(AND(T1=1,軽減所得!I7=2),軽減早見表!C20,
IF(AND(T1=2,軽減所得!I7&lt;=1),軽減早見表!D19,
IF(AND(T1=2,軽減所得!I7=2),軽減早見表!D20,
IF(AND(T1=2,軽減所得!I7=3),軽減早見表!D21,
IF(AND(T1=3,軽減所得!I7&lt;=1),軽減早見表!E19,
IF(AND(T1=3,軽減所得!I7=2),軽減早見表!E20,
IF(AND(T1=3,軽減所得!I7=3),軽減早見表!E21,
IF(AND(T1=3,軽減所得!I7=4),軽減早見表!E22,
IF(AND(T1=4,軽減所得!I7&lt;=1),軽減早見表!F19,
IF(AND(T1=4,軽減所得!I7=2),軽減早見表!F20,
IF(AND(T1=4,軽減所得!I7=3),軽減早見表!F21,
IF(AND(T1=4,軽減所得!I7=4),軽減早見表!F22,
IF(AND(T1=4,軽減所得!I7=5),軽減早見表!F23,
IF(AND(T1=5,軽減所得!I7&lt;=1),軽減早見表!G19,
IF(AND(T1=5,軽減所得!I7=2),軽減早見表!G20,
IF(AND(T1=5,軽減所得!I7=3),軽減早見表!G21,
IF(AND(T1=5,軽減所得!I7=4),軽減早見表!G22,
IF(AND(T1=5,軽減所得!I7=5),軽減早見表!G23,
IF(AND(T1=5,軽減所得!I7=6),軽減早見表!G24,
IF(AND(T1=6,軽減所得!I7&lt;=1),軽減早見表!H19,
IF(AND(T1=6,軽減所得!I7=2),軽減早見表!H20,
IF(AND(T1=6,軽減所得!I7=3),軽減早見表!H21,
IF(AND(T1=6,軽減所得!I7=4),軽減早見表!H22,
IF(AND(T1=6,軽減所得!I7=5),軽減早見表!H23,
IF(AND(T1=6,軽減所得!I7=6),軽減早見表!H24,"エラー")))))))))))))))))))))))))))</f>
        <v>1980000</v>
      </c>
      <c r="Q25" s="513"/>
      <c r="R25" s="294">
        <f>IF(V3=FALSE,SUMIF(軽減所得!G3:G19,"&gt;0",軽減所得!G3:G20),"不明")</f>
        <v>0</v>
      </c>
      <c r="S25" s="295"/>
      <c r="T25" s="296"/>
      <c r="V25" s="401">
        <f>IF(H21=" ",0,H21)</f>
        <v>0</v>
      </c>
      <c r="W25" s="388"/>
      <c r="Z25" s="164"/>
    </row>
    <row r="26" spans="1:36" s="398" customFormat="1" ht="14.25" customHeight="1">
      <c r="A26" s="514"/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5"/>
      <c r="O26" s="516" t="s">
        <v>83</v>
      </c>
      <c r="P26" s="517">
        <f>IF(OR(V28=TRUE,V3=TRUE),"判定なし",
IF(AND(T1=1,軽減所得!I7&lt;=1),軽減早見表!C33,
IF(AND(T1=1,軽減所得!I7=2),軽減早見表!C34,
IF(AND(T1=2,軽減所得!I7&lt;=1),軽減早見表!D33,
IF(AND(T1=2,軽減所得!I7=2),軽減早見表!D34,
IF(AND(T1=2,軽減所得!I7=3),軽減早見表!D35,
IF(AND(T1=3,軽減所得!I7&lt;=1),軽減早見表!E33,
IF(AND(T1=3,軽減所得!I7=2),軽減早見表!E34,
IF(AND(T1=3,軽減所得!I7=3),軽減早見表!E35,
IF(AND(T1=3,軽減所得!I7=4),軽減早見表!E36,
IF(AND(T1=4,軽減所得!I7&lt;=1),軽減早見表!F33,
IF(AND(T1=4,軽減所得!I7=2),軽減早見表!F34,
IF(AND(T1=4,軽減所得!I7=3),軽減早見表!F35,
IF(AND(T1=4,軽減所得!I7=4),軽減早見表!F36,
IF(AND(T1=4,軽減所得!I7=5),軽減早見表!F37,
IF(AND(T1=5,軽減所得!I7&lt;=1),軽減早見表!G33,
IF(AND(T1=5,軽減所得!I7=2),軽減早見表!G34,
IF(AND(T1=5,軽減所得!I7=3),軽減早見表!G35,
IF(AND(T1=5,軽減所得!I7=4),軽減早見表!G36,
IF(AND(T1=5,軽減所得!I7=5),軽減早見表!G37,
IF(AND(T1=5,軽減所得!I7=6),軽減早見表!G38,
IF(AND(T1=6,軽減所得!I7&lt;=1),軽減早見表!H33,
IF(AND(T1=6,軽減所得!I7=2),軽減早見表!H34,
IF(AND(T1=6,軽減所得!I7=3),軽減早見表!H35,
IF(AND(T1=6,軽減所得!I7=4),軽減早見表!H36,
IF(AND(T1=6,軽減所得!I7=5),軽減早見表!H37,
IF(AND(T1=6,軽減所得!I7=6),軽減早見表!H38,"エラー")))))))))))))))))))))))))))</f>
        <v>3280000</v>
      </c>
      <c r="Q26" s="517"/>
      <c r="R26" s="297"/>
      <c r="S26" s="298"/>
      <c r="T26" s="299"/>
      <c r="V26" s="401"/>
      <c r="W26" s="388"/>
      <c r="X26" s="389"/>
      <c r="Y26" s="389"/>
      <c r="Z26" s="518"/>
      <c r="AA26" s="389"/>
      <c r="AB26" s="389"/>
      <c r="AC26" s="389"/>
      <c r="AD26" s="389"/>
      <c r="AE26" s="389"/>
      <c r="AF26" s="389"/>
      <c r="AG26" s="519"/>
      <c r="AH26" s="519"/>
      <c r="AI26" s="519"/>
      <c r="AJ26" s="519"/>
    </row>
    <row r="27" spans="1:36" ht="15.75" hidden="1" customHeight="1">
      <c r="B27" s="521"/>
      <c r="C27" s="522"/>
      <c r="D27" s="523"/>
      <c r="E27" s="523"/>
      <c r="F27" s="524"/>
      <c r="G27" s="525"/>
      <c r="H27" s="526"/>
      <c r="I27" s="526"/>
      <c r="J27" s="526"/>
      <c r="K27" s="526"/>
      <c r="L27" s="526"/>
      <c r="M27" s="23" t="s">
        <v>19</v>
      </c>
      <c r="N27" s="527"/>
      <c r="O27" s="527"/>
      <c r="P27" s="527"/>
      <c r="U27" s="471"/>
      <c r="V27" s="401">
        <f>IF(H22=" ",0,H22)</f>
        <v>0</v>
      </c>
      <c r="W27" s="388"/>
    </row>
    <row r="28" spans="1:36" s="528" customFormat="1" ht="15.75" hidden="1" customHeight="1">
      <c r="B28" s="521"/>
      <c r="C28" s="522"/>
      <c r="D28" s="523"/>
      <c r="E28" s="523"/>
      <c r="F28" s="524"/>
      <c r="G28" s="529"/>
      <c r="H28" s="523"/>
      <c r="I28" s="523"/>
      <c r="J28" s="523"/>
      <c r="K28" s="523"/>
      <c r="L28" s="28"/>
      <c r="M28" s="16" t="s">
        <v>23</v>
      </c>
      <c r="N28" s="530"/>
      <c r="O28" s="531"/>
      <c r="P28" s="531"/>
      <c r="U28" s="523"/>
      <c r="V28" s="532" t="b">
        <v>0</v>
      </c>
      <c r="W28" s="533"/>
      <c r="X28" s="534"/>
      <c r="Y28" s="533"/>
      <c r="Z28" s="535"/>
      <c r="AA28" s="536"/>
      <c r="AB28" s="536"/>
      <c r="AC28" s="536"/>
      <c r="AD28" s="536"/>
      <c r="AE28" s="536"/>
      <c r="AF28" s="536"/>
      <c r="AG28" s="537"/>
      <c r="AH28" s="537"/>
      <c r="AI28" s="537"/>
      <c r="AJ28" s="537"/>
    </row>
    <row r="29" spans="1:36" s="528" customFormat="1" ht="15.75" hidden="1" customHeight="1">
      <c r="M29" s="28"/>
      <c r="N29" s="538"/>
      <c r="O29" s="539"/>
      <c r="P29" s="539"/>
      <c r="U29" s="524"/>
      <c r="V29" s="532" t="b">
        <v>0</v>
      </c>
      <c r="W29" s="534"/>
      <c r="X29" s="533"/>
      <c r="Y29" s="533"/>
      <c r="Z29" s="533"/>
      <c r="AA29" s="536"/>
      <c r="AB29" s="536"/>
      <c r="AC29" s="536"/>
      <c r="AD29" s="536"/>
      <c r="AE29" s="536"/>
      <c r="AF29" s="536"/>
      <c r="AG29" s="537"/>
      <c r="AH29" s="537"/>
      <c r="AI29" s="537"/>
      <c r="AJ29" s="537"/>
    </row>
    <row r="30" spans="1:36" ht="18.75" customHeight="1">
      <c r="A30" s="514" t="s">
        <v>86</v>
      </c>
      <c r="B30" s="514"/>
      <c r="C30" s="514"/>
      <c r="D30" s="514"/>
      <c r="E30" s="540"/>
      <c r="F30" s="540"/>
      <c r="G30" s="540"/>
      <c r="H30" s="540"/>
      <c r="I30" s="540"/>
      <c r="J30" s="540"/>
      <c r="K30" s="398"/>
      <c r="L30" s="398"/>
      <c r="M30" s="471"/>
      <c r="N30" s="527"/>
      <c r="O30" s="527"/>
      <c r="P30" s="527"/>
      <c r="Q30" s="541"/>
      <c r="R30" s="398"/>
      <c r="S30" s="471"/>
      <c r="T30" s="398"/>
      <c r="U30" s="471"/>
      <c r="V30" s="389"/>
      <c r="W30" s="388"/>
    </row>
    <row r="31" spans="1:36" s="528" customFormat="1" ht="16.5" customHeight="1">
      <c r="A31" s="542"/>
      <c r="B31" s="543" t="s">
        <v>96</v>
      </c>
      <c r="C31" s="544"/>
      <c r="D31" s="544"/>
      <c r="E31" s="545"/>
      <c r="F31" s="420"/>
      <c r="G31" s="543" t="s">
        <v>94</v>
      </c>
      <c r="H31" s="544"/>
      <c r="I31" s="544"/>
      <c r="J31" s="545"/>
      <c r="K31" s="420"/>
      <c r="L31" s="543" t="s">
        <v>93</v>
      </c>
      <c r="M31" s="544"/>
      <c r="N31" s="544"/>
      <c r="O31" s="545"/>
      <c r="P31" s="420"/>
      <c r="Q31" s="543" t="s">
        <v>92</v>
      </c>
      <c r="R31" s="544"/>
      <c r="S31" s="544"/>
      <c r="T31" s="545"/>
      <c r="U31" s="523"/>
      <c r="V31" s="533"/>
      <c r="W31" s="533"/>
      <c r="X31" s="533"/>
      <c r="Y31" s="533"/>
      <c r="Z31" s="533"/>
      <c r="AA31" s="536"/>
      <c r="AB31" s="536"/>
      <c r="AC31" s="536"/>
      <c r="AD31" s="536"/>
      <c r="AE31" s="536"/>
      <c r="AF31" s="536"/>
      <c r="AG31" s="537"/>
      <c r="AH31" s="537"/>
      <c r="AI31" s="537"/>
      <c r="AJ31" s="537"/>
    </row>
    <row r="32" spans="1:36" s="528" customFormat="1" ht="14.25" customHeight="1">
      <c r="A32" s="542"/>
      <c r="B32" s="546" t="s">
        <v>16</v>
      </c>
      <c r="C32" s="547"/>
      <c r="D32" s="547"/>
      <c r="E32" s="548"/>
      <c r="F32" s="420"/>
      <c r="G32" s="549" t="s">
        <v>51</v>
      </c>
      <c r="H32" s="547"/>
      <c r="I32" s="547"/>
      <c r="J32" s="548"/>
      <c r="K32" s="420"/>
      <c r="L32" s="546" t="s">
        <v>16</v>
      </c>
      <c r="M32" s="547"/>
      <c r="N32" s="547"/>
      <c r="O32" s="548"/>
      <c r="P32" s="420"/>
      <c r="Q32" s="546" t="s">
        <v>16</v>
      </c>
      <c r="R32" s="547"/>
      <c r="S32" s="547"/>
      <c r="T32" s="548"/>
      <c r="U32" s="523"/>
      <c r="V32" s="533"/>
      <c r="W32" s="533"/>
      <c r="X32" s="533"/>
      <c r="Y32" s="533"/>
      <c r="Z32" s="533"/>
      <c r="AA32" s="536"/>
      <c r="AB32" s="536"/>
      <c r="AC32" s="536"/>
      <c r="AD32" s="536"/>
      <c r="AE32" s="536"/>
      <c r="AF32" s="536"/>
      <c r="AG32" s="537"/>
      <c r="AH32" s="537"/>
      <c r="AI32" s="537"/>
      <c r="AJ32" s="537"/>
    </row>
    <row r="33" spans="1:36" s="528" customFormat="1" ht="4.5" customHeight="1">
      <c r="A33" s="542"/>
      <c r="B33" s="550"/>
      <c r="C33" s="551"/>
      <c r="D33" s="551"/>
      <c r="E33" s="552"/>
      <c r="F33" s="553"/>
      <c r="G33" s="550"/>
      <c r="H33" s="551"/>
      <c r="I33" s="551"/>
      <c r="J33" s="552"/>
      <c r="K33" s="553"/>
      <c r="L33" s="550"/>
      <c r="M33" s="551"/>
      <c r="N33" s="551"/>
      <c r="O33" s="552"/>
      <c r="P33" s="553"/>
      <c r="Q33" s="550"/>
      <c r="R33" s="551"/>
      <c r="S33" s="551"/>
      <c r="T33" s="552"/>
      <c r="U33" s="523"/>
      <c r="V33" s="533"/>
      <c r="W33" s="533"/>
      <c r="X33" s="533"/>
      <c r="Y33" s="533"/>
      <c r="Z33" s="533"/>
      <c r="AA33" s="536"/>
      <c r="AB33" s="536"/>
      <c r="AC33" s="536"/>
      <c r="AD33" s="536"/>
      <c r="AE33" s="536"/>
      <c r="AF33" s="536"/>
      <c r="AG33" s="537"/>
      <c r="AH33" s="537"/>
      <c r="AI33" s="537"/>
      <c r="AJ33" s="537"/>
    </row>
    <row r="34" spans="1:36" s="528" customFormat="1" ht="15" customHeight="1">
      <c r="A34" s="542"/>
      <c r="B34" s="554" t="s">
        <v>11</v>
      </c>
      <c r="C34" s="551"/>
      <c r="D34" s="551"/>
      <c r="E34" s="552"/>
      <c r="F34" s="553"/>
      <c r="G34" s="554" t="s">
        <v>11</v>
      </c>
      <c r="H34" s="551"/>
      <c r="I34" s="551"/>
      <c r="J34" s="552"/>
      <c r="K34" s="553"/>
      <c r="L34" s="554" t="s">
        <v>11</v>
      </c>
      <c r="M34" s="551"/>
      <c r="N34" s="551"/>
      <c r="O34" s="552"/>
      <c r="P34" s="553"/>
      <c r="Q34" s="554" t="s">
        <v>11</v>
      </c>
      <c r="R34" s="551"/>
      <c r="S34" s="551"/>
      <c r="T34" s="552"/>
      <c r="U34" s="523"/>
      <c r="V34" s="533"/>
      <c r="W34" s="533"/>
      <c r="X34" s="533"/>
      <c r="Y34" s="533"/>
      <c r="Z34" s="533"/>
      <c r="AA34" s="536"/>
      <c r="AB34" s="536"/>
      <c r="AC34" s="536"/>
      <c r="AD34" s="536"/>
      <c r="AE34" s="536"/>
      <c r="AF34" s="536"/>
      <c r="AG34" s="537"/>
      <c r="AH34" s="537"/>
      <c r="AI34" s="537"/>
      <c r="AJ34" s="537"/>
    </row>
    <row r="35" spans="1:36" s="528" customFormat="1" ht="15" customHeight="1">
      <c r="A35" s="542"/>
      <c r="B35" s="555">
        <f>R15</f>
        <v>2650000</v>
      </c>
      <c r="C35" s="556"/>
      <c r="D35" s="557" t="s">
        <v>57</v>
      </c>
      <c r="E35" s="558"/>
      <c r="F35" s="559"/>
      <c r="G35" s="555">
        <f>R21</f>
        <v>0</v>
      </c>
      <c r="H35" s="556"/>
      <c r="I35" s="557" t="s">
        <v>58</v>
      </c>
      <c r="J35" s="558"/>
      <c r="K35" s="553"/>
      <c r="L35" s="555">
        <f>B35</f>
        <v>2650000</v>
      </c>
      <c r="M35" s="556"/>
      <c r="N35" s="557" t="s">
        <v>59</v>
      </c>
      <c r="O35" s="558"/>
      <c r="P35" s="553"/>
      <c r="Q35" s="555">
        <f>B35</f>
        <v>2650000</v>
      </c>
      <c r="R35" s="556"/>
      <c r="S35" s="557" t="s">
        <v>60</v>
      </c>
      <c r="T35" s="558"/>
      <c r="V35" s="533"/>
      <c r="W35" s="533"/>
      <c r="X35" s="533"/>
      <c r="Y35" s="533"/>
      <c r="Z35" s="533"/>
      <c r="AA35" s="536"/>
      <c r="AB35" s="536"/>
      <c r="AC35" s="536"/>
      <c r="AD35" s="536"/>
      <c r="AE35" s="536"/>
      <c r="AF35" s="536"/>
      <c r="AG35" s="537"/>
      <c r="AH35" s="537"/>
      <c r="AI35" s="537"/>
      <c r="AJ35" s="537"/>
    </row>
    <row r="36" spans="1:36" s="528" customFormat="1" ht="18" customHeight="1">
      <c r="A36" s="542"/>
      <c r="B36" s="560" t="s">
        <v>36</v>
      </c>
      <c r="C36" s="561">
        <f>ROUNDDOWN(B35*0.07,0)</f>
        <v>185500</v>
      </c>
      <c r="D36" s="561"/>
      <c r="E36" s="552" t="s">
        <v>5</v>
      </c>
      <c r="F36" s="559"/>
      <c r="G36" s="560" t="s">
        <v>36</v>
      </c>
      <c r="H36" s="561">
        <f>ROUNDDOWN(G35*0.0271,0)</f>
        <v>0</v>
      </c>
      <c r="I36" s="561"/>
      <c r="J36" s="552" t="s">
        <v>5</v>
      </c>
      <c r="K36" s="553"/>
      <c r="L36" s="560" t="s">
        <v>36</v>
      </c>
      <c r="M36" s="561">
        <f>ROUNDDOWN(L35*0.0301,0)</f>
        <v>79765</v>
      </c>
      <c r="N36" s="561"/>
      <c r="O36" s="552" t="s">
        <v>5</v>
      </c>
      <c r="P36" s="553"/>
      <c r="Q36" s="560" t="s">
        <v>36</v>
      </c>
      <c r="R36" s="561">
        <f>ROUNDDOWN(Q35*0.0029,0)</f>
        <v>7685</v>
      </c>
      <c r="S36" s="561"/>
      <c r="T36" s="552" t="s">
        <v>5</v>
      </c>
      <c r="V36" s="533"/>
      <c r="W36" s="533"/>
      <c r="X36" s="533"/>
      <c r="Y36" s="533"/>
      <c r="Z36" s="533"/>
      <c r="AA36" s="536"/>
      <c r="AB36" s="536"/>
      <c r="AC36" s="536"/>
      <c r="AD36" s="536"/>
      <c r="AE36" s="536"/>
      <c r="AF36" s="536"/>
      <c r="AG36" s="537"/>
      <c r="AH36" s="537"/>
      <c r="AI36" s="537"/>
      <c r="AJ36" s="537"/>
    </row>
    <row r="37" spans="1:36" s="528" customFormat="1" ht="8.25" customHeight="1">
      <c r="A37" s="542"/>
      <c r="B37" s="562"/>
      <c r="C37" s="563"/>
      <c r="D37" s="563"/>
      <c r="E37" s="552"/>
      <c r="F37" s="559"/>
      <c r="G37" s="562"/>
      <c r="H37" s="563"/>
      <c r="I37" s="563"/>
      <c r="J37" s="552"/>
      <c r="K37" s="553"/>
      <c r="L37" s="562"/>
      <c r="M37" s="563"/>
      <c r="N37" s="563"/>
      <c r="O37" s="552"/>
      <c r="P37" s="553"/>
      <c r="Q37" s="564"/>
      <c r="R37" s="565"/>
      <c r="S37" s="565"/>
      <c r="T37" s="566"/>
      <c r="V37" s="533"/>
      <c r="W37" s="533"/>
      <c r="X37" s="533"/>
      <c r="Y37" s="533"/>
      <c r="Z37" s="533"/>
      <c r="AA37" s="536"/>
      <c r="AB37" s="536"/>
      <c r="AC37" s="536"/>
      <c r="AD37" s="536"/>
      <c r="AE37" s="536"/>
      <c r="AF37" s="536"/>
      <c r="AG37" s="537"/>
      <c r="AH37" s="537"/>
      <c r="AI37" s="537"/>
      <c r="AJ37" s="537"/>
    </row>
    <row r="38" spans="1:36" s="528" customFormat="1" ht="15" customHeight="1">
      <c r="A38" s="542"/>
      <c r="B38" s="567" t="s">
        <v>12</v>
      </c>
      <c r="C38" s="568"/>
      <c r="D38" s="568"/>
      <c r="E38" s="569"/>
      <c r="F38" s="559"/>
      <c r="G38" s="567" t="s">
        <v>12</v>
      </c>
      <c r="H38" s="568"/>
      <c r="I38" s="568"/>
      <c r="J38" s="569"/>
      <c r="K38" s="553"/>
      <c r="L38" s="567" t="s">
        <v>12</v>
      </c>
      <c r="M38" s="568"/>
      <c r="N38" s="568"/>
      <c r="O38" s="569"/>
      <c r="P38" s="553"/>
      <c r="Q38" s="567" t="s">
        <v>70</v>
      </c>
      <c r="R38" s="568"/>
      <c r="S38" s="568"/>
      <c r="T38" s="569"/>
      <c r="V38" s="533"/>
      <c r="W38" s="533"/>
      <c r="X38" s="533"/>
      <c r="Y38" s="533"/>
      <c r="Z38" s="533"/>
      <c r="AA38" s="536"/>
      <c r="AB38" s="536"/>
      <c r="AC38" s="536"/>
      <c r="AD38" s="536"/>
      <c r="AE38" s="536"/>
      <c r="AF38" s="536"/>
      <c r="AG38" s="537"/>
      <c r="AH38" s="537"/>
      <c r="AI38" s="537"/>
      <c r="AJ38" s="537"/>
    </row>
    <row r="39" spans="1:36" s="528" customFormat="1" ht="15" customHeight="1">
      <c r="A39" s="542"/>
      <c r="B39" s="570" t="s">
        <v>45</v>
      </c>
      <c r="C39" s="571"/>
      <c r="D39" s="572">
        <f>T1</f>
        <v>5</v>
      </c>
      <c r="E39" s="552" t="s">
        <v>6</v>
      </c>
      <c r="F39" s="559"/>
      <c r="G39" s="570" t="s">
        <v>46</v>
      </c>
      <c r="H39" s="571"/>
      <c r="I39" s="572">
        <f>T4</f>
        <v>0</v>
      </c>
      <c r="J39" s="552" t="s">
        <v>6</v>
      </c>
      <c r="K39" s="553"/>
      <c r="L39" s="570" t="s">
        <v>47</v>
      </c>
      <c r="M39" s="571"/>
      <c r="N39" s="572">
        <f>T1</f>
        <v>5</v>
      </c>
      <c r="O39" s="552" t="s">
        <v>6</v>
      </c>
      <c r="P39" s="553"/>
      <c r="Q39" s="570" t="s">
        <v>63</v>
      </c>
      <c r="R39" s="571"/>
      <c r="S39" s="572">
        <f>T10</f>
        <v>5</v>
      </c>
      <c r="T39" s="552" t="s">
        <v>6</v>
      </c>
      <c r="U39" s="523"/>
      <c r="V39" s="533"/>
      <c r="W39" s="533"/>
      <c r="X39" s="533"/>
      <c r="Y39" s="533"/>
      <c r="Z39" s="533"/>
      <c r="AA39" s="536"/>
      <c r="AB39" s="536"/>
      <c r="AC39" s="536"/>
      <c r="AD39" s="536"/>
      <c r="AE39" s="536"/>
      <c r="AF39" s="536"/>
      <c r="AG39" s="537"/>
      <c r="AH39" s="537"/>
      <c r="AI39" s="537"/>
      <c r="AJ39" s="537"/>
    </row>
    <row r="40" spans="1:36" s="528" customFormat="1" ht="15" customHeight="1">
      <c r="A40" s="542"/>
      <c r="B40" s="560" t="s">
        <v>36</v>
      </c>
      <c r="C40" s="561">
        <f>LEFT(B39,6)*D39</f>
        <v>148845</v>
      </c>
      <c r="D40" s="561"/>
      <c r="E40" s="552" t="s">
        <v>5</v>
      </c>
      <c r="F40" s="559"/>
      <c r="G40" s="560" t="s">
        <v>36</v>
      </c>
      <c r="H40" s="561">
        <f>LEFT(G39,6)*I39</f>
        <v>0</v>
      </c>
      <c r="I40" s="561"/>
      <c r="J40" s="552" t="s">
        <v>5</v>
      </c>
      <c r="K40" s="553"/>
      <c r="L40" s="560" t="s">
        <v>36</v>
      </c>
      <c r="M40" s="561">
        <f>LEFT(L39,6)*N39</f>
        <v>62530</v>
      </c>
      <c r="N40" s="561"/>
      <c r="O40" s="552" t="s">
        <v>5</v>
      </c>
      <c r="P40" s="553"/>
      <c r="Q40" s="560" t="s">
        <v>36</v>
      </c>
      <c r="R40" s="561">
        <f>LEFT(Q39,5)*S39</f>
        <v>6795</v>
      </c>
      <c r="S40" s="561"/>
      <c r="T40" s="552" t="s">
        <v>5</v>
      </c>
      <c r="U40" s="523"/>
      <c r="V40" s="533"/>
      <c r="W40" s="533"/>
      <c r="X40" s="533"/>
      <c r="Y40" s="533"/>
      <c r="Z40" s="533"/>
      <c r="AA40" s="536"/>
      <c r="AB40" s="536"/>
      <c r="AC40" s="536"/>
      <c r="AD40" s="536"/>
      <c r="AE40" s="536"/>
      <c r="AF40" s="536"/>
      <c r="AG40" s="537"/>
      <c r="AH40" s="537"/>
      <c r="AI40" s="537"/>
      <c r="AJ40" s="537"/>
    </row>
    <row r="41" spans="1:36" s="528" customFormat="1" ht="6" customHeight="1">
      <c r="A41" s="542"/>
      <c r="B41" s="562"/>
      <c r="C41" s="563"/>
      <c r="D41" s="563"/>
      <c r="E41" s="552"/>
      <c r="F41" s="559"/>
      <c r="G41" s="562"/>
      <c r="H41" s="563"/>
      <c r="I41" s="563"/>
      <c r="J41" s="552"/>
      <c r="K41" s="553"/>
      <c r="L41" s="562"/>
      <c r="M41" s="563"/>
      <c r="N41" s="563"/>
      <c r="O41" s="552"/>
      <c r="P41" s="553"/>
      <c r="Q41" s="570"/>
      <c r="R41" s="571"/>
      <c r="S41" s="572"/>
      <c r="T41" s="552"/>
      <c r="U41" s="523"/>
      <c r="V41" s="533"/>
      <c r="W41" s="533"/>
      <c r="X41" s="533"/>
      <c r="Y41" s="533"/>
      <c r="Z41" s="533"/>
      <c r="AA41" s="536"/>
      <c r="AB41" s="536"/>
      <c r="AC41" s="536"/>
      <c r="AD41" s="536"/>
      <c r="AE41" s="536"/>
      <c r="AF41" s="536"/>
      <c r="AG41" s="537"/>
      <c r="AH41" s="537"/>
      <c r="AI41" s="537"/>
      <c r="AJ41" s="537"/>
    </row>
    <row r="42" spans="1:36" s="528" customFormat="1" ht="15" customHeight="1">
      <c r="A42" s="542"/>
      <c r="B42" s="567" t="s">
        <v>13</v>
      </c>
      <c r="C42" s="568"/>
      <c r="D42" s="568"/>
      <c r="E42" s="569"/>
      <c r="F42" s="559"/>
      <c r="G42" s="567" t="s">
        <v>13</v>
      </c>
      <c r="H42" s="568"/>
      <c r="I42" s="568"/>
      <c r="J42" s="569"/>
      <c r="K42" s="553"/>
      <c r="L42" s="567" t="s">
        <v>13</v>
      </c>
      <c r="M42" s="568"/>
      <c r="N42" s="568"/>
      <c r="O42" s="569"/>
      <c r="P42" s="553"/>
      <c r="Q42" s="567" t="s">
        <v>13</v>
      </c>
      <c r="R42" s="568"/>
      <c r="S42" s="568"/>
      <c r="T42" s="569"/>
      <c r="U42" s="523"/>
      <c r="V42" s="533"/>
      <c r="W42" s="533" t="s">
        <v>39</v>
      </c>
      <c r="X42" s="533" t="s">
        <v>40</v>
      </c>
      <c r="Y42" s="533" t="s">
        <v>41</v>
      </c>
      <c r="Z42" s="533"/>
      <c r="AA42" s="536"/>
      <c r="AB42" s="536"/>
      <c r="AC42" s="536"/>
      <c r="AD42" s="536"/>
      <c r="AE42" s="536"/>
      <c r="AF42" s="536"/>
      <c r="AG42" s="537"/>
      <c r="AH42" s="537"/>
      <c r="AI42" s="537"/>
      <c r="AJ42" s="537"/>
    </row>
    <row r="43" spans="1:36" s="528" customFormat="1" ht="18.75" customHeight="1">
      <c r="A43" s="542"/>
      <c r="B43" s="562"/>
      <c r="C43" s="561">
        <f>IF(V28=FALSE,19511,0)</f>
        <v>19511</v>
      </c>
      <c r="D43" s="561"/>
      <c r="E43" s="552" t="s">
        <v>5</v>
      </c>
      <c r="F43" s="559"/>
      <c r="G43" s="562"/>
      <c r="H43" s="561">
        <f>IF(T4=0,0,IF(V29=FALSE,6999,0))</f>
        <v>0</v>
      </c>
      <c r="I43" s="561"/>
      <c r="J43" s="552" t="s">
        <v>5</v>
      </c>
      <c r="K43" s="553"/>
      <c r="L43" s="562"/>
      <c r="M43" s="561">
        <f>IF(V28=FALSE,8196,0)</f>
        <v>8196</v>
      </c>
      <c r="N43" s="561"/>
      <c r="O43" s="552" t="s">
        <v>5</v>
      </c>
      <c r="P43" s="553"/>
      <c r="Q43" s="562"/>
      <c r="R43" s="561">
        <f>IF(V28=FALSE,823,0)</f>
        <v>823</v>
      </c>
      <c r="S43" s="561"/>
      <c r="T43" s="552" t="s">
        <v>5</v>
      </c>
      <c r="U43" s="523"/>
      <c r="V43" s="533"/>
      <c r="W43" s="533" t="str">
        <f>IF(OR(V28=TRUE,V3=TRUE),"",IF(OR(AND(軽減所得!I7&lt;=1,R25&lt;=軽減早見表!C5),AND(T1=1,軽減所得!I7=2,R25&lt;=軽減早見表!C6),AND(T1=2,軽減所得!I7=2,R25&lt;=軽減早見表!D6),AND(T1=2,軽減所得!I7=3,R25&lt;=軽減早見表!D7),AND(T1=3,軽減所得!I7=2,R25&lt;=軽減早見表!E6),AND(T1=3,軽減所得!I7=3,R25&lt;=軽減早見表!E7),AND(T1=3,軽減所得!I7=4,R25&lt;=軽減早見表!E8),AND(T1=4,軽減所得!I7=2,R25&lt;=軽減早見表!F6),AND(T1=4,軽減所得!I7=3,R25&lt;=軽減早見表!F7),AND(T1=4,軽減所得!I7=4,R25&lt;=軽減早見表!F8),AND(T1=4,軽減所得!I7=5,R25&lt;=軽減早見表!F9),AND(T1=5,軽減所得!I7=2,R25&lt;=軽減早見表!G6),AND(T1=5,軽減所得!I7=3,R25&lt;=軽減早見表!G7),AND(T1=5,軽減所得!I7=4,R25&lt;=軽減早見表!G8),AND(T1=5,軽減所得!I7=5,R25&lt;=軽減早見表!G9),AND(T1=5,軽減所得!I7=6,R25&lt;=軽減早見表!G10),AND(T1=6,軽減所得!I7=2,R25&lt;=軽減早見表!H6),AND(T1=6,軽減所得!I7=3,R25&lt;=軽減早見表!H7),AND(T1=6,軽減所得!I7=4,R25&lt;=軽減早見表!H8),AND(T1=6,軽減所得!I7=5,R25&lt;=軽減早見表!H9),AND(T1=6,軽減所得!I7=6,R25&lt;=軽減早見表!H10),),"○",""))</f>
        <v>○</v>
      </c>
      <c r="X43" s="533" t="str">
        <f>IF(OR(V28=TRUE,V3=TRUE),"",IF(OR(AND(T1=1,軽減所得!I7&lt;=1,R25&lt;=軽減早見表!C19),AND(T1=1,軽減所得!I7=2,R25&lt;=軽減早見表!C20),AND(T1=2,軽減所得!I7&lt;=1,R25&lt;=軽減早見表!D19),AND(T1=2,軽減所得!I7=2,R25&lt;=軽減早見表!D20),AND(T1=2,軽減所得!I7=3,R25&lt;=軽減早見表!D21),AND(T1=3,軽減所得!I7&lt;=1,R25&lt;=軽減早見表!E19),AND(T1=3,軽減所得!I7=2,R25&lt;=軽減早見表!E20),AND(T1=3,軽減所得!I7=3,R25&lt;=軽減早見表!E21),AND(T1=3,軽減所得!I7=4,R25&lt;=軽減早見表!E22),AND(T1=4,軽減所得!I7&lt;=1,R25&lt;=軽減早見表!F19),AND(T1=4,軽減所得!I7=2,R25&lt;=軽減早見表!F20),AND(T1=4,軽減所得!I7=3,R25&lt;=軽減早見表!F21),AND(T1=4,軽減所得!I7=4,R25&lt;=軽減早見表!F22),AND(T1=4,軽減所得!I7=5,R25&lt;=軽減早見表!F23),AND(T1=5,軽減所得!I7&lt;=1,R25&lt;=軽減早見表!G19),AND(T1=5,軽減所得!I7=2,R25&lt;=軽減早見表!G20),AND(T1=5,軽減所得!I7=3,R25&lt;=軽減早見表!G21),AND(T1=5,軽減所得!I7=4,R25&lt;=軽減早見表!G22),AND(T1=5,軽減所得!I7=5,R25&lt;=軽減早見表!G23),AND(T1=5,軽減所得!I7=6,R25&lt;=軽減早見表!G24),AND(T1=6,軽減所得!I7&lt;=1,R25&lt;=軽減早見表!H19),AND(T1=6,軽減所得!I7=2,R25&lt;=軽減早見表!H20),AND(T1=6,軽減所得!I7=3,R25&lt;=軽減早見表!H21),AND(T1=6,軽減所得!I7=4,R25&lt;=軽減早見表!H22),AND(T1=6,軽減所得!I7=5,R25&lt;=軽減早見表!H23),AND(T1=6,軽減所得!I7=6,R25&lt;=軽減早見表!H24),),"○",""))</f>
        <v>○</v>
      </c>
      <c r="Y43" s="533" t="str">
        <f>IF(OR(V28=TRUE,V3=TRUE),"",IF(OR(AND(T1=1,軽減所得!I7&lt;=1,R25&lt;=軽減早見表!C33),AND(T1=1,軽減所得!I7=2,R25&lt;=軽減早見表!C34),AND(T1=2,軽減所得!I7&lt;=1,R25&lt;=軽減早見表!D33),AND(T1=2,軽減所得!I7=2,R25&lt;=軽減早見表!D34),AND(T1=2,軽減所得!I7=3,R25&lt;=軽減早見表!D35),AND(T1=3,軽減所得!I7&lt;=1,R25&lt;=軽減早見表!E33),AND(T1=3,軽減所得!I7=2,R25&lt;=軽減早見表!E34),AND(T1=3,軽減所得!I7=3,R25&lt;=軽減早見表!E35),AND(T1=3,軽減所得!I7=4,R25&lt;=軽減早見表!E36),AND(T1=4,軽減所得!I7&lt;=1,R25&lt;=軽減早見表!F33),AND(T1=4,軽減所得!I7=2,R25&lt;=軽減早見表!F34),AND(T1=4,軽減所得!I7=3,R25&lt;=軽減早見表!F35),AND(T1=4,軽減所得!I7=4,R25&lt;=軽減早見表!F36),AND(T1=4,軽減所得!I7=5,R25&lt;=軽減早見表!F37),AND(T2=5,軽減所得!I7&lt;=1,R25&lt;=軽減早見表!G33),AND(T1=5,軽減所得!I7=2,R25&lt;=軽減早見表!G34),AND(T1=5,軽減所得!I7=3,R25&lt;=軽減早見表!G35),AND(T1=5,軽減所得!I7=4,R25&lt;=軽減早見表!G36),AND(T1=5,軽減所得!I7=5,R25&lt;=軽減早見表!G37),AND(T1=5,軽減所得!I7=6,R25&lt;=軽減早見表!G38),AND(T1=6,軽減所得!I7&lt;=1,R25&lt;=軽減早見表!H33),AND(T1=6,軽減所得!I7=2,R25&lt;=軽減早見表!H34),AND(T1=6,軽減所得!I7=3,R25&lt;=軽減早見表!H35),AND(T1=6,軽減所得!I7=4,R25&lt;=軽減早見表!H36),AND(T1=6,軽減所得!I7=5,R25&lt;=軽減早見表!H37),AND(T1=6,軽減所得!I7=6,R25&lt;=軽減早見表!H38),),"○",""))</f>
        <v/>
      </c>
      <c r="Z43" s="533"/>
      <c r="AA43" s="536"/>
      <c r="AB43" s="536"/>
      <c r="AC43" s="536"/>
      <c r="AD43" s="536"/>
      <c r="AE43" s="536"/>
      <c r="AF43" s="536"/>
      <c r="AG43" s="537"/>
      <c r="AH43" s="537"/>
      <c r="AI43" s="537"/>
      <c r="AJ43" s="537"/>
    </row>
    <row r="44" spans="1:36" s="528" customFormat="1" ht="6" customHeight="1">
      <c r="A44" s="542"/>
      <c r="B44" s="562"/>
      <c r="C44" s="563"/>
      <c r="D44" s="563"/>
      <c r="E44" s="552"/>
      <c r="F44" s="559"/>
      <c r="G44" s="562"/>
      <c r="H44" s="563"/>
      <c r="I44" s="563"/>
      <c r="J44" s="552"/>
      <c r="K44" s="553"/>
      <c r="L44" s="562"/>
      <c r="M44" s="563"/>
      <c r="N44" s="563"/>
      <c r="O44" s="552"/>
      <c r="P44" s="553"/>
      <c r="Q44" s="564"/>
      <c r="R44" s="565"/>
      <c r="S44" s="565"/>
      <c r="T44" s="566"/>
      <c r="U44" s="523"/>
      <c r="V44" s="533"/>
      <c r="W44" s="533"/>
      <c r="X44" s="533"/>
      <c r="Y44" s="533"/>
      <c r="Z44" s="533"/>
      <c r="AA44" s="536"/>
      <c r="AB44" s="536"/>
      <c r="AC44" s="536"/>
      <c r="AD44" s="536"/>
      <c r="AE44" s="536"/>
      <c r="AF44" s="536"/>
      <c r="AG44" s="537"/>
      <c r="AH44" s="537"/>
      <c r="AI44" s="537"/>
      <c r="AJ44" s="537"/>
    </row>
    <row r="45" spans="1:36" s="528" customFormat="1">
      <c r="A45" s="542"/>
      <c r="B45" s="567" t="s">
        <v>49</v>
      </c>
      <c r="C45" s="563"/>
      <c r="D45" s="563"/>
      <c r="E45" s="552"/>
      <c r="F45" s="559"/>
      <c r="G45" s="567" t="s">
        <v>49</v>
      </c>
      <c r="H45" s="563"/>
      <c r="I45" s="563"/>
      <c r="J45" s="552"/>
      <c r="K45" s="553"/>
      <c r="L45" s="567" t="s">
        <v>49</v>
      </c>
      <c r="M45" s="563"/>
      <c r="N45" s="563"/>
      <c r="O45" s="552"/>
      <c r="P45" s="553"/>
      <c r="Q45" s="567" t="s">
        <v>64</v>
      </c>
      <c r="R45" s="563"/>
      <c r="S45" s="563"/>
      <c r="T45" s="552"/>
      <c r="U45" s="523"/>
      <c r="V45" s="533"/>
      <c r="W45" s="533"/>
      <c r="X45" s="533"/>
      <c r="Y45" s="533"/>
      <c r="Z45" s="533"/>
      <c r="AA45" s="536"/>
      <c r="AB45" s="536"/>
      <c r="AC45" s="536"/>
      <c r="AD45" s="536"/>
      <c r="AE45" s="536"/>
      <c r="AF45" s="536"/>
      <c r="AG45" s="537"/>
      <c r="AH45" s="537"/>
      <c r="AI45" s="537"/>
      <c r="AJ45" s="537"/>
    </row>
    <row r="46" spans="1:36" s="528" customFormat="1" ht="15" customHeight="1">
      <c r="A46" s="542"/>
      <c r="B46" s="573">
        <f>C40-LEFT(B39,6)*T7+C43</f>
        <v>168356</v>
      </c>
      <c r="C46" s="574"/>
      <c r="D46" s="575" t="s">
        <v>50</v>
      </c>
      <c r="E46" s="576">
        <f>IF(W43="○",0.7,IF(AND(W43="",X43="○"),0.5,IF(AND(W43="",X43="",Y43="○"),0.2,)))</f>
        <v>0.7</v>
      </c>
      <c r="F46" s="559"/>
      <c r="G46" s="573">
        <f>H40+H43</f>
        <v>0</v>
      </c>
      <c r="H46" s="574"/>
      <c r="I46" s="575" t="s">
        <v>50</v>
      </c>
      <c r="J46" s="577">
        <f>E46</f>
        <v>0.7</v>
      </c>
      <c r="K46" s="553"/>
      <c r="L46" s="573">
        <f>M40-LEFT(L39,6)*T7+M43</f>
        <v>70726</v>
      </c>
      <c r="M46" s="574"/>
      <c r="N46" s="575" t="s">
        <v>50</v>
      </c>
      <c r="O46" s="576">
        <f>E46</f>
        <v>0.7</v>
      </c>
      <c r="P46" s="553"/>
      <c r="Q46" s="573">
        <f>R40+R43</f>
        <v>7618</v>
      </c>
      <c r="R46" s="574"/>
      <c r="S46" s="575" t="s">
        <v>50</v>
      </c>
      <c r="T46" s="576">
        <f>E46</f>
        <v>0.7</v>
      </c>
      <c r="U46" s="523"/>
      <c r="V46" s="533"/>
      <c r="W46" s="533"/>
      <c r="X46" s="533"/>
      <c r="Y46" s="533"/>
      <c r="Z46" s="533"/>
      <c r="AA46" s="536"/>
      <c r="AB46" s="536"/>
      <c r="AC46" s="536"/>
      <c r="AD46" s="536"/>
      <c r="AE46" s="536"/>
      <c r="AF46" s="536"/>
      <c r="AG46" s="537"/>
      <c r="AH46" s="537"/>
      <c r="AI46" s="537"/>
      <c r="AJ46" s="537"/>
    </row>
    <row r="47" spans="1:36" s="528" customFormat="1" ht="15" customHeight="1">
      <c r="A47" s="542"/>
      <c r="B47" s="573">
        <f>LEFT(B39,6)*T7</f>
        <v>0</v>
      </c>
      <c r="C47" s="574"/>
      <c r="D47" s="575" t="s">
        <v>50</v>
      </c>
      <c r="E47" s="577">
        <f>E46+(1-E46)*0.5</f>
        <v>0.85</v>
      </c>
      <c r="F47" s="559"/>
      <c r="G47" s="578"/>
      <c r="H47" s="579"/>
      <c r="I47" s="563"/>
      <c r="J47" s="580"/>
      <c r="K47" s="553"/>
      <c r="L47" s="573">
        <f>LEFT(L39,6)*T7</f>
        <v>0</v>
      </c>
      <c r="M47" s="574"/>
      <c r="N47" s="575" t="s">
        <v>50</v>
      </c>
      <c r="O47" s="577">
        <f>O46+(1-O46)*0.5</f>
        <v>0.85</v>
      </c>
      <c r="P47" s="553"/>
      <c r="Q47" s="581"/>
      <c r="R47" s="582"/>
      <c r="S47" s="583"/>
      <c r="T47" s="584"/>
      <c r="U47" s="523"/>
      <c r="V47" s="533"/>
      <c r="W47" s="533"/>
      <c r="X47" s="533"/>
      <c r="Y47" s="533"/>
      <c r="Z47" s="533"/>
      <c r="AA47" s="536"/>
      <c r="AB47" s="536"/>
      <c r="AC47" s="536"/>
      <c r="AD47" s="536"/>
      <c r="AE47" s="536"/>
      <c r="AF47" s="536"/>
      <c r="AG47" s="537"/>
      <c r="AH47" s="537"/>
      <c r="AI47" s="537"/>
      <c r="AJ47" s="537"/>
    </row>
    <row r="48" spans="1:36" s="528" customFormat="1" ht="19.5" customHeight="1">
      <c r="A48" s="542"/>
      <c r="B48" s="560" t="s">
        <v>36</v>
      </c>
      <c r="C48" s="556">
        <f>ROUNDDOWN((B46*E46)+(B47*E47),0)</f>
        <v>117849</v>
      </c>
      <c r="D48" s="556"/>
      <c r="E48" s="552" t="s">
        <v>5</v>
      </c>
      <c r="F48" s="559"/>
      <c r="G48" s="560" t="s">
        <v>36</v>
      </c>
      <c r="H48" s="556">
        <f>ROUNDDOWN(G46*J46,0)</f>
        <v>0</v>
      </c>
      <c r="I48" s="556"/>
      <c r="J48" s="552" t="s">
        <v>5</v>
      </c>
      <c r="K48" s="553"/>
      <c r="L48" s="560" t="s">
        <v>36</v>
      </c>
      <c r="M48" s="556">
        <f>ROUNDDOWN((L46*O46)+(L47*O47),0)</f>
        <v>49508</v>
      </c>
      <c r="N48" s="556"/>
      <c r="O48" s="552" t="s">
        <v>5</v>
      </c>
      <c r="P48" s="553"/>
      <c r="Q48" s="560" t="s">
        <v>36</v>
      </c>
      <c r="R48" s="556">
        <f>ROUNDDOWN((Q46*T46),0)</f>
        <v>5332</v>
      </c>
      <c r="S48" s="556"/>
      <c r="T48" s="552" t="s">
        <v>5</v>
      </c>
      <c r="U48" s="523"/>
      <c r="V48" s="533"/>
      <c r="W48" s="533"/>
      <c r="X48" s="533"/>
      <c r="Y48" s="533"/>
      <c r="Z48" s="533"/>
      <c r="AA48" s="536"/>
      <c r="AB48" s="536"/>
      <c r="AC48" s="536"/>
      <c r="AD48" s="536"/>
      <c r="AE48" s="536"/>
      <c r="AF48" s="536"/>
      <c r="AG48" s="537"/>
      <c r="AH48" s="537"/>
      <c r="AI48" s="537"/>
      <c r="AJ48" s="537"/>
    </row>
    <row r="49" spans="1:36" s="528" customFormat="1" ht="15" customHeight="1">
      <c r="A49" s="542"/>
      <c r="B49" s="554" t="s">
        <v>18</v>
      </c>
      <c r="C49" s="585"/>
      <c r="D49" s="568"/>
      <c r="E49" s="586"/>
      <c r="F49" s="553"/>
      <c r="G49" s="554" t="s">
        <v>18</v>
      </c>
      <c r="H49" s="585"/>
      <c r="I49" s="568"/>
      <c r="J49" s="586"/>
      <c r="K49" s="553"/>
      <c r="L49" s="554" t="s">
        <v>18</v>
      </c>
      <c r="M49" s="585"/>
      <c r="N49" s="568"/>
      <c r="O49" s="586"/>
      <c r="P49" s="553"/>
      <c r="Q49" s="554" t="s">
        <v>18</v>
      </c>
      <c r="R49" s="585"/>
      <c r="S49" s="568"/>
      <c r="T49" s="586"/>
      <c r="U49" s="523"/>
      <c r="V49" s="533"/>
      <c r="W49" s="533"/>
      <c r="X49" s="533"/>
      <c r="Y49" s="533"/>
      <c r="Z49" s="533"/>
      <c r="AA49" s="536"/>
      <c r="AB49" s="536"/>
      <c r="AC49" s="536"/>
      <c r="AD49" s="536"/>
      <c r="AE49" s="536"/>
      <c r="AF49" s="536"/>
      <c r="AG49" s="537"/>
      <c r="AH49" s="537"/>
      <c r="AI49" s="537"/>
      <c r="AJ49" s="537"/>
    </row>
    <row r="50" spans="1:36" s="528" customFormat="1" ht="18" customHeight="1">
      <c r="A50" s="542"/>
      <c r="B50" s="554"/>
      <c r="C50" s="587">
        <f>MIN(ROUNDDOWN(C36+C40+C43-C48,-2),670000)</f>
        <v>236000</v>
      </c>
      <c r="D50" s="588"/>
      <c r="E50" s="552" t="s">
        <v>5</v>
      </c>
      <c r="F50" s="553"/>
      <c r="G50" s="554"/>
      <c r="H50" s="589">
        <f>MIN(ROUNDDOWN(H36+H40+H43-H48,-2),170000)</f>
        <v>0</v>
      </c>
      <c r="I50" s="590"/>
      <c r="J50" s="552" t="s">
        <v>5</v>
      </c>
      <c r="K50" s="553"/>
      <c r="L50" s="554"/>
      <c r="M50" s="591">
        <f>MIN(ROUNDDOWN(M36+M40+M43-M48,-2),260000)</f>
        <v>100900</v>
      </c>
      <c r="N50" s="592"/>
      <c r="O50" s="552" t="s">
        <v>5</v>
      </c>
      <c r="P50" s="553"/>
      <c r="Q50" s="554"/>
      <c r="R50" s="593">
        <f>MIN(ROUNDDOWN(R36+R40+R43-R48,-2),30000)</f>
        <v>9900</v>
      </c>
      <c r="S50" s="594"/>
      <c r="T50" s="552" t="s">
        <v>5</v>
      </c>
      <c r="U50" s="523"/>
      <c r="V50" s="533"/>
      <c r="W50" s="533"/>
      <c r="X50" s="533"/>
      <c r="Y50" s="533"/>
      <c r="Z50" s="533"/>
      <c r="AA50" s="536"/>
      <c r="AB50" s="536"/>
      <c r="AC50" s="536"/>
      <c r="AD50" s="536"/>
      <c r="AE50" s="536"/>
      <c r="AF50" s="536"/>
      <c r="AG50" s="537"/>
      <c r="AH50" s="537"/>
      <c r="AI50" s="537"/>
      <c r="AJ50" s="537"/>
    </row>
    <row r="51" spans="1:36" s="528" customFormat="1" ht="14.25" customHeight="1">
      <c r="A51" s="542"/>
      <c r="B51" s="595" t="s">
        <v>53</v>
      </c>
      <c r="C51" s="596"/>
      <c r="D51" s="596"/>
      <c r="E51" s="597"/>
      <c r="F51" s="553"/>
      <c r="G51" s="595" t="s">
        <v>54</v>
      </c>
      <c r="H51" s="596"/>
      <c r="I51" s="596"/>
      <c r="J51" s="597"/>
      <c r="K51" s="553"/>
      <c r="L51" s="595" t="s">
        <v>55</v>
      </c>
      <c r="M51" s="596"/>
      <c r="N51" s="596"/>
      <c r="O51" s="597"/>
      <c r="P51" s="553"/>
      <c r="Q51" s="595" t="s">
        <v>56</v>
      </c>
      <c r="R51" s="596"/>
      <c r="S51" s="596"/>
      <c r="T51" s="597"/>
      <c r="U51" s="523"/>
      <c r="V51" s="533"/>
      <c r="W51" s="533"/>
      <c r="X51" s="533"/>
      <c r="Y51" s="533"/>
      <c r="Z51" s="533"/>
      <c r="AA51" s="536"/>
      <c r="AB51" s="536"/>
      <c r="AC51" s="536"/>
      <c r="AD51" s="536"/>
      <c r="AE51" s="536"/>
      <c r="AF51" s="536"/>
      <c r="AG51" s="537"/>
      <c r="AH51" s="537"/>
      <c r="AI51" s="537"/>
      <c r="AJ51" s="537"/>
    </row>
    <row r="52" spans="1:36" s="528" customFormat="1" ht="8.25" customHeight="1">
      <c r="A52" s="542"/>
      <c r="B52" s="551"/>
      <c r="C52" s="585"/>
      <c r="D52" s="585"/>
      <c r="E52" s="585"/>
      <c r="F52" s="551"/>
      <c r="G52" s="551"/>
      <c r="H52" s="551"/>
      <c r="I52" s="551"/>
      <c r="J52" s="551"/>
      <c r="K52" s="551"/>
      <c r="L52" s="551"/>
      <c r="M52" s="598"/>
      <c r="N52" s="551"/>
      <c r="O52" s="551"/>
      <c r="P52" s="598"/>
      <c r="Q52" s="551"/>
      <c r="R52" s="598"/>
      <c r="S52" s="551"/>
      <c r="T52" s="551"/>
      <c r="U52" s="523"/>
      <c r="V52" s="534"/>
      <c r="W52" s="533"/>
      <c r="X52" s="533"/>
      <c r="Y52" s="533"/>
      <c r="Z52" s="533"/>
      <c r="AA52" s="536"/>
      <c r="AB52" s="536"/>
      <c r="AC52" s="536"/>
      <c r="AD52" s="536"/>
      <c r="AE52" s="536"/>
      <c r="AF52" s="536"/>
      <c r="AG52" s="537"/>
      <c r="AH52" s="537"/>
      <c r="AI52" s="537"/>
      <c r="AJ52" s="537"/>
    </row>
    <row r="53" spans="1:36" ht="6" customHeight="1" thickBot="1">
      <c r="A53" s="599"/>
      <c r="B53" s="600"/>
      <c r="C53" s="601"/>
      <c r="D53" s="601"/>
      <c r="E53" s="601"/>
      <c r="F53" s="602"/>
      <c r="G53" s="603"/>
      <c r="H53" s="602"/>
      <c r="I53" s="602"/>
      <c r="J53" s="602"/>
      <c r="K53" s="602"/>
      <c r="L53" s="602"/>
      <c r="M53" s="604"/>
      <c r="N53" s="602"/>
      <c r="O53" s="602"/>
      <c r="P53" s="604"/>
      <c r="Q53" s="602"/>
      <c r="R53" s="604"/>
      <c r="S53" s="602"/>
      <c r="T53" s="605"/>
      <c r="U53" s="398"/>
    </row>
    <row r="54" spans="1:36" ht="20.25" customHeight="1" thickTop="1" thickBot="1">
      <c r="A54" s="599"/>
      <c r="B54" s="606" t="s">
        <v>95</v>
      </c>
      <c r="C54" s="607"/>
      <c r="D54" s="607"/>
      <c r="E54" s="607"/>
      <c r="F54" s="607"/>
      <c r="G54" s="608">
        <f>C50+H50+M50+R50</f>
        <v>346800</v>
      </c>
      <c r="H54" s="609"/>
      <c r="I54" s="607" t="s">
        <v>14</v>
      </c>
      <c r="J54" s="607"/>
      <c r="K54" s="607"/>
      <c r="L54" s="607"/>
      <c r="M54" s="607"/>
      <c r="N54" s="608">
        <f>ROUNDUP(G54/12,-2)</f>
        <v>28900</v>
      </c>
      <c r="O54" s="609"/>
      <c r="P54" s="610" t="s">
        <v>15</v>
      </c>
      <c r="Q54" s="610"/>
      <c r="R54" s="610"/>
      <c r="S54" s="611"/>
      <c r="T54" s="612"/>
      <c r="V54" s="389"/>
    </row>
    <row r="55" spans="1:36" ht="14.25" customHeight="1" thickTop="1">
      <c r="A55" s="599"/>
      <c r="B55" s="613"/>
      <c r="C55" s="614"/>
      <c r="D55" s="611"/>
      <c r="E55" s="615"/>
      <c r="F55" s="611"/>
      <c r="G55" s="616"/>
      <c r="H55" s="616"/>
      <c r="I55" s="616"/>
      <c r="J55" s="616"/>
      <c r="K55" s="617" t="s">
        <v>61</v>
      </c>
      <c r="L55" s="617"/>
      <c r="M55" s="617"/>
      <c r="N55" s="617"/>
      <c r="O55" s="617"/>
      <c r="P55" s="617"/>
      <c r="Q55" s="617"/>
      <c r="R55" s="617"/>
      <c r="S55" s="617"/>
      <c r="T55" s="618"/>
      <c r="U55" s="398"/>
    </row>
    <row r="56" spans="1:36" ht="14.25" customHeight="1">
      <c r="A56" s="599"/>
      <c r="B56" s="613"/>
      <c r="C56" s="614"/>
      <c r="D56" s="617" t="s">
        <v>62</v>
      </c>
      <c r="E56" s="617"/>
      <c r="F56" s="617"/>
      <c r="G56" s="617"/>
      <c r="H56" s="617"/>
      <c r="I56" s="617"/>
      <c r="J56" s="617"/>
      <c r="K56" s="617"/>
      <c r="L56" s="617"/>
      <c r="M56" s="617"/>
      <c r="N56" s="617"/>
      <c r="O56" s="617"/>
      <c r="P56" s="617"/>
      <c r="Q56" s="617"/>
      <c r="R56" s="617"/>
      <c r="S56" s="617"/>
      <c r="T56" s="618"/>
      <c r="U56" s="398"/>
    </row>
    <row r="57" spans="1:36" ht="3.75" customHeight="1">
      <c r="A57" s="599"/>
      <c r="B57" s="619" t="s">
        <v>17</v>
      </c>
      <c r="C57" s="620"/>
      <c r="D57" s="621"/>
      <c r="E57" s="622"/>
      <c r="F57" s="621"/>
      <c r="G57" s="621"/>
      <c r="H57" s="621"/>
      <c r="I57" s="621"/>
      <c r="J57" s="621"/>
      <c r="K57" s="621"/>
      <c r="L57" s="623"/>
      <c r="M57" s="623"/>
      <c r="N57" s="623"/>
      <c r="O57" s="623"/>
      <c r="P57" s="623"/>
      <c r="Q57" s="623"/>
      <c r="R57" s="623"/>
      <c r="S57" s="623"/>
      <c r="T57" s="624"/>
      <c r="U57" s="398"/>
    </row>
    <row r="58" spans="1:36" s="398" customFormat="1" ht="7.5" customHeight="1">
      <c r="A58" s="599"/>
      <c r="B58" s="625"/>
      <c r="C58" s="625"/>
      <c r="D58" s="626"/>
      <c r="E58" s="627"/>
      <c r="F58" s="626"/>
      <c r="G58" s="626"/>
      <c r="H58" s="626"/>
      <c r="I58" s="626"/>
      <c r="J58" s="626"/>
      <c r="K58" s="626"/>
      <c r="L58" s="628"/>
      <c r="M58" s="628"/>
      <c r="N58" s="628"/>
      <c r="O58" s="628"/>
      <c r="P58" s="628"/>
      <c r="Q58" s="628"/>
      <c r="R58" s="628"/>
      <c r="S58" s="628"/>
      <c r="T58" s="628"/>
      <c r="V58" s="388"/>
      <c r="W58" s="389"/>
      <c r="X58" s="389"/>
      <c r="Y58" s="389"/>
      <c r="Z58" s="389"/>
      <c r="AA58" s="389"/>
      <c r="AB58" s="389"/>
      <c r="AC58" s="389"/>
      <c r="AD58" s="389"/>
      <c r="AE58" s="389"/>
      <c r="AF58" s="389"/>
      <c r="AG58" s="519"/>
      <c r="AH58" s="519"/>
      <c r="AI58" s="519"/>
      <c r="AJ58" s="519"/>
    </row>
    <row r="59" spans="1:36">
      <c r="A59" s="599"/>
      <c r="B59" s="629" t="s">
        <v>20</v>
      </c>
      <c r="C59" s="630"/>
      <c r="D59" s="630"/>
      <c r="E59" s="630"/>
      <c r="F59" s="631"/>
      <c r="G59" s="631"/>
      <c r="H59" s="631"/>
      <c r="I59" s="631"/>
      <c r="J59" s="631"/>
      <c r="K59" s="631"/>
      <c r="L59" s="632"/>
      <c r="M59" s="632"/>
      <c r="N59" s="632"/>
      <c r="O59" s="632"/>
      <c r="P59" s="632"/>
      <c r="Q59" s="632"/>
      <c r="R59" s="632"/>
      <c r="S59" s="632"/>
      <c r="T59" s="632"/>
      <c r="U59" s="398"/>
    </row>
    <row r="60" spans="1:36">
      <c r="A60" s="599"/>
      <c r="B60" s="633" t="s">
        <v>79</v>
      </c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398"/>
    </row>
    <row r="61" spans="1:36">
      <c r="A61" s="599"/>
      <c r="B61" s="633" t="s">
        <v>80</v>
      </c>
      <c r="C61" s="633"/>
      <c r="D61" s="633"/>
      <c r="E61" s="633"/>
      <c r="F61" s="633"/>
      <c r="G61" s="633"/>
      <c r="H61" s="633"/>
      <c r="I61" s="633"/>
      <c r="J61" s="633"/>
      <c r="K61" s="633"/>
      <c r="L61" s="633"/>
      <c r="M61" s="633"/>
      <c r="N61" s="633"/>
      <c r="O61" s="633"/>
      <c r="P61" s="633"/>
      <c r="Q61" s="633"/>
      <c r="R61" s="633"/>
      <c r="S61" s="633"/>
      <c r="T61" s="633"/>
      <c r="U61" s="398"/>
    </row>
    <row r="62" spans="1:36" ht="13.5" customHeight="1">
      <c r="A62" s="599"/>
      <c r="B62" s="633" t="s">
        <v>21</v>
      </c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3"/>
      <c r="S62" s="633"/>
      <c r="T62" s="633"/>
      <c r="U62" s="398"/>
    </row>
    <row r="63" spans="1:36">
      <c r="A63" s="599"/>
      <c r="B63" s="634" t="s">
        <v>81</v>
      </c>
      <c r="C63" s="634"/>
      <c r="D63" s="634"/>
      <c r="E63" s="634"/>
      <c r="F63" s="634"/>
      <c r="G63" s="634"/>
      <c r="H63" s="634"/>
      <c r="I63" s="634"/>
      <c r="J63" s="634"/>
      <c r="K63" s="634"/>
      <c r="L63" s="634"/>
      <c r="M63" s="634"/>
      <c r="N63" s="634"/>
      <c r="O63" s="634"/>
      <c r="P63" s="634"/>
      <c r="Q63" s="634"/>
      <c r="R63" s="634"/>
      <c r="S63" s="634"/>
      <c r="T63" s="634"/>
      <c r="U63" s="398"/>
    </row>
    <row r="64" spans="1:36">
      <c r="A64" s="599"/>
      <c r="B64" s="634" t="s">
        <v>24</v>
      </c>
      <c r="C64" s="634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398"/>
    </row>
    <row r="65" spans="1:21" ht="7.5" customHeight="1">
      <c r="A65" s="599"/>
      <c r="B65" s="523"/>
      <c r="C65" s="529"/>
      <c r="D65" s="529"/>
      <c r="E65" s="529"/>
      <c r="F65" s="523"/>
      <c r="G65" s="523"/>
      <c r="H65" s="523"/>
      <c r="I65" s="523"/>
      <c r="J65" s="523"/>
      <c r="L65" s="523"/>
      <c r="M65" s="523"/>
      <c r="U65" s="523"/>
    </row>
    <row r="66" spans="1:21">
      <c r="A66" s="599"/>
      <c r="B66" s="398"/>
      <c r="C66" s="397"/>
      <c r="D66" s="397"/>
      <c r="E66" s="397"/>
      <c r="F66" s="398"/>
      <c r="G66" s="398"/>
      <c r="H66" s="398"/>
      <c r="I66" s="398"/>
      <c r="J66" s="398"/>
      <c r="K66" s="398"/>
      <c r="L66" s="398"/>
      <c r="M66" s="471"/>
      <c r="N66" s="635"/>
      <c r="O66" s="635"/>
      <c r="P66" s="635"/>
      <c r="Q66" s="635"/>
      <c r="R66" s="635"/>
      <c r="S66" s="635"/>
      <c r="T66" s="635"/>
      <c r="U66" s="398"/>
    </row>
    <row r="67" spans="1:21">
      <c r="A67" s="599"/>
      <c r="B67" s="399"/>
      <c r="C67" s="636"/>
      <c r="D67" s="636"/>
      <c r="E67" s="636"/>
      <c r="F67" s="399"/>
      <c r="G67" s="399"/>
      <c r="H67" s="399"/>
      <c r="I67" s="399"/>
      <c r="J67" s="399"/>
      <c r="K67" s="399"/>
      <c r="L67" s="399"/>
      <c r="M67" s="400"/>
      <c r="N67" s="399"/>
      <c r="O67" s="399"/>
      <c r="P67" s="400"/>
      <c r="Q67" s="399"/>
      <c r="R67" s="400"/>
      <c r="S67" s="399"/>
      <c r="T67" s="400"/>
      <c r="U67" s="398"/>
    </row>
    <row r="68" spans="1:21" ht="12" customHeight="1">
      <c r="B68" s="637"/>
      <c r="C68" s="637"/>
      <c r="D68" s="637"/>
      <c r="E68" s="637"/>
      <c r="F68" s="637"/>
      <c r="G68" s="637"/>
      <c r="H68" s="637"/>
      <c r="I68" s="637"/>
      <c r="J68" s="637"/>
      <c r="K68" s="637"/>
      <c r="L68" s="637"/>
      <c r="M68" s="637"/>
      <c r="N68" s="637"/>
      <c r="O68" s="637"/>
      <c r="P68" s="637"/>
      <c r="Q68" s="637"/>
      <c r="R68" s="637"/>
      <c r="S68" s="637"/>
      <c r="T68" s="637"/>
      <c r="U68" s="637"/>
    </row>
    <row r="69" spans="1:21">
      <c r="B69" s="637"/>
      <c r="C69" s="637"/>
      <c r="D69" s="637"/>
      <c r="E69" s="637"/>
      <c r="F69" s="637"/>
      <c r="G69" s="637"/>
      <c r="H69" s="637"/>
      <c r="I69" s="637"/>
      <c r="J69" s="637"/>
      <c r="K69" s="637"/>
      <c r="L69" s="637"/>
      <c r="M69" s="637"/>
      <c r="N69" s="637"/>
      <c r="O69" s="637"/>
      <c r="P69" s="637"/>
      <c r="Q69" s="637"/>
      <c r="R69" s="637"/>
      <c r="S69" s="637"/>
      <c r="T69" s="637"/>
      <c r="U69" s="637"/>
    </row>
    <row r="70" spans="1:21">
      <c r="B70" s="637"/>
      <c r="C70" s="637"/>
      <c r="D70" s="637"/>
      <c r="E70" s="637"/>
      <c r="F70" s="637"/>
      <c r="G70" s="637"/>
      <c r="H70" s="637"/>
      <c r="I70" s="637"/>
      <c r="J70" s="637"/>
      <c r="K70" s="637"/>
      <c r="L70" s="637"/>
      <c r="M70" s="637"/>
      <c r="N70" s="637"/>
      <c r="O70" s="637"/>
      <c r="P70" s="637"/>
      <c r="Q70" s="637"/>
      <c r="R70" s="637"/>
      <c r="S70" s="637"/>
      <c r="T70" s="637"/>
      <c r="U70" s="637"/>
    </row>
    <row r="71" spans="1:21">
      <c r="B71" s="637"/>
      <c r="C71" s="637"/>
      <c r="D71" s="637"/>
      <c r="E71" s="637"/>
      <c r="F71" s="637"/>
      <c r="G71" s="637"/>
      <c r="H71" s="637"/>
      <c r="I71" s="637"/>
      <c r="J71" s="637"/>
      <c r="K71" s="637"/>
      <c r="L71" s="637"/>
      <c r="M71" s="637"/>
      <c r="N71" s="637"/>
      <c r="O71" s="637"/>
      <c r="P71" s="637"/>
      <c r="Q71" s="637"/>
      <c r="R71" s="637"/>
      <c r="S71" s="637"/>
      <c r="T71" s="637"/>
      <c r="U71" s="637"/>
    </row>
    <row r="72" spans="1:21">
      <c r="B72" s="637"/>
      <c r="C72" s="637"/>
      <c r="D72" s="637"/>
      <c r="E72" s="637"/>
      <c r="F72" s="637"/>
      <c r="G72" s="637"/>
      <c r="H72" s="637"/>
      <c r="I72" s="637"/>
      <c r="J72" s="637"/>
      <c r="K72" s="637"/>
      <c r="L72" s="637"/>
      <c r="M72" s="637"/>
      <c r="N72" s="637"/>
      <c r="O72" s="637"/>
      <c r="P72" s="637"/>
      <c r="Q72" s="637"/>
      <c r="R72" s="637"/>
      <c r="S72" s="637"/>
      <c r="T72" s="637"/>
      <c r="U72" s="637"/>
    </row>
    <row r="73" spans="1:21">
      <c r="B73" s="637"/>
      <c r="C73" s="637"/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</row>
    <row r="74" spans="1:21">
      <c r="B74" s="637"/>
      <c r="C74" s="637"/>
      <c r="D74" s="637"/>
      <c r="E74" s="637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</row>
  </sheetData>
  <sheetProtection algorithmName="SHA-512" hashValue="mj4yI0M+gOOPmVUIngFde/84SepT24/vUtgHOAkQsXjjAMerZfMsmRqEovvqdfkvxMHdOGsSj8xl5eG4bqWJ1w==" saltValue="x5H/kdYPYMsV0ufdtw+0Gg==" spinCount="100000" sheet="1" selectLockedCells="1"/>
  <mergeCells count="152">
    <mergeCell ref="A1:K2"/>
    <mergeCell ref="R1:S2"/>
    <mergeCell ref="T1:T2"/>
    <mergeCell ref="U1:U2"/>
    <mergeCell ref="B3:D3"/>
    <mergeCell ref="B4:B5"/>
    <mergeCell ref="C4:C5"/>
    <mergeCell ref="D4:D5"/>
    <mergeCell ref="E4:G5"/>
    <mergeCell ref="H4:J5"/>
    <mergeCell ref="R7:S8"/>
    <mergeCell ref="T7:T8"/>
    <mergeCell ref="U7:U8"/>
    <mergeCell ref="K4:N5"/>
    <mergeCell ref="O4:P5"/>
    <mergeCell ref="R4:S5"/>
    <mergeCell ref="T4:T5"/>
    <mergeCell ref="U4:U5"/>
    <mergeCell ref="B6:B7"/>
    <mergeCell ref="C6:C7"/>
    <mergeCell ref="E6:G6"/>
    <mergeCell ref="H6:J6"/>
    <mergeCell ref="K6:N8"/>
    <mergeCell ref="B8:C8"/>
    <mergeCell ref="E8:G8"/>
    <mergeCell ref="H8:J8"/>
    <mergeCell ref="B9:B10"/>
    <mergeCell ref="C9:C10"/>
    <mergeCell ref="E9:G9"/>
    <mergeCell ref="H9:J9"/>
    <mergeCell ref="O6:P8"/>
    <mergeCell ref="E7:G7"/>
    <mergeCell ref="H7:J7"/>
    <mergeCell ref="E13:G13"/>
    <mergeCell ref="H13:J13"/>
    <mergeCell ref="R13:T14"/>
    <mergeCell ref="B14:C14"/>
    <mergeCell ref="E14:G14"/>
    <mergeCell ref="H14:J14"/>
    <mergeCell ref="U10:U11"/>
    <mergeCell ref="B11:C11"/>
    <mergeCell ref="E11:G11"/>
    <mergeCell ref="H11:J11"/>
    <mergeCell ref="B12:B13"/>
    <mergeCell ref="C12:C13"/>
    <mergeCell ref="E12:G12"/>
    <mergeCell ref="H12:J12"/>
    <mergeCell ref="K12:N14"/>
    <mergeCell ref="O12:P14"/>
    <mergeCell ref="K9:N11"/>
    <mergeCell ref="O9:P11"/>
    <mergeCell ref="E10:G10"/>
    <mergeCell ref="H10:J10"/>
    <mergeCell ref="R10:S11"/>
    <mergeCell ref="T10:T11"/>
    <mergeCell ref="R15:T16"/>
    <mergeCell ref="E16:G16"/>
    <mergeCell ref="H16:J16"/>
    <mergeCell ref="B17:C17"/>
    <mergeCell ref="E17:G17"/>
    <mergeCell ref="H17:J17"/>
    <mergeCell ref="B15:B16"/>
    <mergeCell ref="C15:C16"/>
    <mergeCell ref="E15:G15"/>
    <mergeCell ref="H15:J15"/>
    <mergeCell ref="K15:N17"/>
    <mergeCell ref="O15:P17"/>
    <mergeCell ref="R21:T22"/>
    <mergeCell ref="E22:G22"/>
    <mergeCell ref="H22:J22"/>
    <mergeCell ref="B23:C23"/>
    <mergeCell ref="E23:G23"/>
    <mergeCell ref="H23:J23"/>
    <mergeCell ref="R19:T20"/>
    <mergeCell ref="B20:C20"/>
    <mergeCell ref="E20:G20"/>
    <mergeCell ref="H20:J20"/>
    <mergeCell ref="B21:B22"/>
    <mergeCell ref="C21:C22"/>
    <mergeCell ref="E21:G21"/>
    <mergeCell ref="H21:J21"/>
    <mergeCell ref="K21:N23"/>
    <mergeCell ref="O21:P23"/>
    <mergeCell ref="B18:B19"/>
    <mergeCell ref="C18:C19"/>
    <mergeCell ref="E18:G18"/>
    <mergeCell ref="H18:J18"/>
    <mergeCell ref="K18:N20"/>
    <mergeCell ref="O18:P20"/>
    <mergeCell ref="E19:G19"/>
    <mergeCell ref="H19:J19"/>
    <mergeCell ref="A30:D30"/>
    <mergeCell ref="B35:C35"/>
    <mergeCell ref="D35:E35"/>
    <mergeCell ref="G35:H35"/>
    <mergeCell ref="I35:J35"/>
    <mergeCell ref="L35:M35"/>
    <mergeCell ref="P24:Q24"/>
    <mergeCell ref="R24:T24"/>
    <mergeCell ref="P25:Q25"/>
    <mergeCell ref="R25:T26"/>
    <mergeCell ref="A26:M26"/>
    <mergeCell ref="P26:Q26"/>
    <mergeCell ref="B39:C39"/>
    <mergeCell ref="G39:H39"/>
    <mergeCell ref="L39:M39"/>
    <mergeCell ref="Q39:R39"/>
    <mergeCell ref="C40:D40"/>
    <mergeCell ref="H40:I40"/>
    <mergeCell ref="M40:N40"/>
    <mergeCell ref="R40:S40"/>
    <mergeCell ref="N35:O35"/>
    <mergeCell ref="Q35:R35"/>
    <mergeCell ref="S35:T35"/>
    <mergeCell ref="C36:D36"/>
    <mergeCell ref="H36:I36"/>
    <mergeCell ref="M36:N36"/>
    <mergeCell ref="R36:S36"/>
    <mergeCell ref="Q41:R41"/>
    <mergeCell ref="C43:D43"/>
    <mergeCell ref="H43:I43"/>
    <mergeCell ref="M43:N43"/>
    <mergeCell ref="R43:S43"/>
    <mergeCell ref="B46:C46"/>
    <mergeCell ref="G46:H46"/>
    <mergeCell ref="L46:M46"/>
    <mergeCell ref="Q46:R46"/>
    <mergeCell ref="C50:D50"/>
    <mergeCell ref="H50:I50"/>
    <mergeCell ref="M50:N50"/>
    <mergeCell ref="R50:S50"/>
    <mergeCell ref="B51:E51"/>
    <mergeCell ref="G51:J51"/>
    <mergeCell ref="L51:O51"/>
    <mergeCell ref="Q51:T51"/>
    <mergeCell ref="B47:C47"/>
    <mergeCell ref="L47:M47"/>
    <mergeCell ref="C48:D48"/>
    <mergeCell ref="H48:I48"/>
    <mergeCell ref="M48:N48"/>
    <mergeCell ref="R48:S48"/>
    <mergeCell ref="D56:S56"/>
    <mergeCell ref="B60:T60"/>
    <mergeCell ref="B61:T61"/>
    <mergeCell ref="B62:T62"/>
    <mergeCell ref="N66:T66"/>
    <mergeCell ref="B54:F54"/>
    <mergeCell ref="G54:H54"/>
    <mergeCell ref="I54:M54"/>
    <mergeCell ref="N54:O54"/>
    <mergeCell ref="P54:R54"/>
    <mergeCell ref="K55:S55"/>
  </mergeCells>
  <phoneticPr fontId="2"/>
  <dataValidations count="6">
    <dataValidation type="list" errorStyle="warning" imeMode="on" allowBlank="1" showInputMessage="1" showErrorMessage="1" errorTitle="続柄を手入力" error="続柄はあってますか？" prompt="続柄がリストにない場合は手入力する！" sqref="B9:B10 B12:B13 B15:B16 B18:B19 B21:B22" xr:uid="{37B76285-2ACF-44E2-A217-0D9736E7F2F7}">
      <formula1>$AC$19:$AC$21</formula1>
    </dataValidation>
    <dataValidation type="list" allowBlank="1" showInputMessage="1" showErrorMessage="1" sqref="O6:P23" xr:uid="{73B68FE5-2524-461B-9E6F-B7441D46D9ED}">
      <formula1>$AD$5:$AD$6</formula1>
    </dataValidation>
    <dataValidation type="list" allowBlank="1" showInputMessage="1" showErrorMessage="1" sqref="B3" xr:uid="{540E2AB1-2890-4113-BD06-92966BCA98F5}">
      <formula1>$AE$5:$AE$6</formula1>
    </dataValidation>
    <dataValidation type="list" errorStyle="warning" imeMode="on" allowBlank="1" showInputMessage="1" showErrorMessage="1" errorTitle="続柄を手入力" error="続柄はあってますか？" prompt="続柄がリストにない場合は手入力する！" sqref="B8 B14 B11 B17 B23 B20" xr:uid="{29C52321-4B8C-47D5-8D95-314AE603541A}">
      <formula1>$AB$5:$AB$6</formula1>
    </dataValidation>
    <dataValidation type="whole" allowBlank="1" showInputMessage="1" showErrorMessage="1" error="収入額が0円の場合は空白にしておいてください！" sqref="E21:F22 E9:F10 E12:F13 E15:F16 E18:F19 E6:E7 F7" xr:uid="{62D8EDF9-569B-48C1-8118-15BF853065F6}">
      <formula1>1</formula1>
      <formula2>9999999999</formula2>
    </dataValidation>
    <dataValidation imeMode="off" allowBlank="1" showInputMessage="1" showErrorMessage="1" sqref="T10:T11" xr:uid="{25EAE9D9-71CB-4927-98CB-645E01B9C6C8}"/>
  </dataValidations>
  <printOptions horizontalCentered="1"/>
  <pageMargins left="0.35433070866141736" right="0.15748031496062992" top="0.59055118110236227" bottom="0.15748031496062992" header="0.31496062992125984" footer="3.937007874015748E-2"/>
  <headerFooter alignWithMargins="0">
    <oddHeader>&amp;C&amp;"ＭＳ Ｐゴシック,太字"&amp;18令和８年度　加古川市国民健康保険料試算シート&amp;R&amp;"BIZ UDPゴシック,標準"&amp;7&amp;D</oddHeader>
    <oddFooter>&amp;R&amp;"BIZ UDゴシック,標準"加古川市役所 国民健康保険課 保険料係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K20"/>
  <sheetViews>
    <sheetView showGridLines="0" zoomScaleNormal="100" workbookViewId="0">
      <selection activeCell="F22" sqref="F22"/>
    </sheetView>
  </sheetViews>
  <sheetFormatPr defaultRowHeight="19.5" customHeight="1"/>
  <cols>
    <col min="1" max="1" width="3.125" style="111" customWidth="1"/>
    <col min="2" max="2" width="9" style="111"/>
    <col min="3" max="3" width="9" style="120"/>
    <col min="4" max="4" width="16" style="120" customWidth="1"/>
    <col min="5" max="5" width="23.5" style="111" bestFit="1" customWidth="1"/>
    <col min="6" max="6" width="19.25" style="111" bestFit="1" customWidth="1"/>
    <col min="7" max="7" width="18.625" style="111" bestFit="1" customWidth="1"/>
    <col min="8" max="8" width="5.75" style="111" customWidth="1"/>
    <col min="9" max="16384" width="9" style="111"/>
  </cols>
  <sheetData>
    <row r="1" spans="2:11" ht="19.5" customHeight="1">
      <c r="B1" s="109" t="s">
        <v>26</v>
      </c>
      <c r="C1" s="110"/>
      <c r="D1" s="110"/>
      <c r="E1" s="45"/>
    </row>
    <row r="2" spans="2:11" ht="19.5" customHeight="1">
      <c r="B2" s="45" t="s">
        <v>8</v>
      </c>
      <c r="C2" s="110"/>
      <c r="D2" s="110" t="s">
        <v>76</v>
      </c>
      <c r="E2" s="142" t="s">
        <v>78</v>
      </c>
      <c r="F2" s="110" t="s">
        <v>77</v>
      </c>
      <c r="G2" s="111" t="s">
        <v>44</v>
      </c>
    </row>
    <row r="3" spans="2:11" ht="19.5" customHeight="1">
      <c r="B3" s="377">
        <f>'試算シート '!C6</f>
        <v>0</v>
      </c>
      <c r="C3" s="112" t="s">
        <v>0</v>
      </c>
      <c r="D3" s="140">
        <f>IF('試算シート '!E6-550000&gt;0,'試算シート '!E6-550000,0)</f>
        <v>0</v>
      </c>
      <c r="E3" s="113">
        <f>IF('試算シート '!A6&lt;=1,0,IF(AND('試算シート '!H6&gt;0,E4&gt;0),IF(('試算シート '!H6+E4)&gt;100000,'試算シート '!H6-(MIN('試算シート '!H6,100000)+MIN(E4,100000)-100000),0),'試算シート '!H6))</f>
        <v>0</v>
      </c>
      <c r="F3" s="114">
        <f>D3+E4</f>
        <v>0</v>
      </c>
      <c r="G3" s="135">
        <f>SUM(E3:E5)</f>
        <v>0</v>
      </c>
    </row>
    <row r="4" spans="2:11" ht="19.5" customHeight="1">
      <c r="B4" s="377"/>
      <c r="C4" s="112" t="s">
        <v>1</v>
      </c>
      <c r="D4" s="138"/>
      <c r="E4" s="116">
        <f>IF(AND('試算シート '!C6&gt;=65,'試算シート '!A7&gt;=2,'試算シート '!V4=FALSE),MAX('試算シート '!H7-150000,0),IF('試算シート '!A7&lt;=1,0,'試算シート '!H7))</f>
        <v>0</v>
      </c>
      <c r="G4" s="115"/>
    </row>
    <row r="5" spans="2:11" ht="19.5" customHeight="1">
      <c r="B5" s="377"/>
      <c r="C5" s="112" t="s">
        <v>2</v>
      </c>
      <c r="D5" s="138"/>
      <c r="E5" s="116">
        <f>IF('試算シート '!A8&lt;=1,0,'試算シート '!H8)</f>
        <v>0</v>
      </c>
      <c r="G5" s="115"/>
      <c r="I5" s="379" t="s">
        <v>34</v>
      </c>
      <c r="J5" s="379"/>
    </row>
    <row r="6" spans="2:11" ht="19.5" customHeight="1">
      <c r="B6" s="378">
        <f>'試算シート '!C9</f>
        <v>0</v>
      </c>
      <c r="C6" s="117" t="s">
        <v>0</v>
      </c>
      <c r="D6" s="140">
        <f>IF('試算シート '!E9-550000&gt;0,'試算シート '!E9-550000,0)</f>
        <v>0</v>
      </c>
      <c r="E6" s="118">
        <f>IF('試算シート '!A9&lt;=1,0,IF(AND('試算シート '!H9&gt;0,E7&gt;0),IF(('試算シート '!H9+E7)&gt;100000,'試算シート '!H9-(MIN('試算シート '!H9,100000)+MIN(E7,100000)-100000),0),'試算シート '!H9))</f>
        <v>0</v>
      </c>
      <c r="F6" s="114">
        <f>D6+E7</f>
        <v>0</v>
      </c>
      <c r="G6" s="135">
        <f>SUM(E6:E8)</f>
        <v>0</v>
      </c>
      <c r="I6" s="379"/>
      <c r="J6" s="379"/>
    </row>
    <row r="7" spans="2:11" ht="19.5" customHeight="1">
      <c r="B7" s="378"/>
      <c r="C7" s="117" t="s">
        <v>1</v>
      </c>
      <c r="D7" s="138"/>
      <c r="E7" s="118">
        <f>IF(AND('試算シート '!C9&gt;=65,'試算シート '!A10&gt;=2,'試算シート '!V5=FALSE),MAX('試算シート '!H10-150000,0),IF('試算シート '!A10&lt;=1,0,'試算シート '!H10))</f>
        <v>0</v>
      </c>
      <c r="G7" s="115"/>
      <c r="I7" s="379">
        <f>COUNTIFS(F3:F20,"&gt;0")</f>
        <v>0</v>
      </c>
      <c r="J7" s="379"/>
    </row>
    <row r="8" spans="2:11" ht="19.5" customHeight="1">
      <c r="B8" s="378"/>
      <c r="C8" s="117" t="s">
        <v>2</v>
      </c>
      <c r="D8" s="138"/>
      <c r="E8" s="118">
        <f>IF('試算シート '!A11&lt;=1,0,'試算シート '!H11)</f>
        <v>0</v>
      </c>
      <c r="G8" s="134"/>
      <c r="I8" s="379"/>
      <c r="J8" s="379"/>
    </row>
    <row r="9" spans="2:11" ht="19.5" customHeight="1">
      <c r="B9" s="377">
        <f>'試算シート '!C12</f>
        <v>0</v>
      </c>
      <c r="C9" s="112" t="s">
        <v>0</v>
      </c>
      <c r="D9" s="140">
        <f>IF('試算シート '!E12-550000&gt;0,'試算シート '!E12-550000,0)</f>
        <v>0</v>
      </c>
      <c r="E9" s="116">
        <f>IF('試算シート '!A12&lt;=1,0,IF(AND('試算シート '!H12&gt;0,E10&gt;0),IF(('試算シート '!H12+E10)&gt;100000,'試算シート '!H12-(MIN('試算シート '!H12,100000)+MIN(E10,100000)-100000),0),'試算シート '!H12))</f>
        <v>0</v>
      </c>
      <c r="F9" s="114">
        <f>D9+E10</f>
        <v>0</v>
      </c>
      <c r="G9" s="135">
        <f>SUM(E9:E11)</f>
        <v>0</v>
      </c>
    </row>
    <row r="10" spans="2:11" ht="19.5" customHeight="1">
      <c r="B10" s="377"/>
      <c r="C10" s="112" t="s">
        <v>1</v>
      </c>
      <c r="D10" s="138"/>
      <c r="E10" s="116">
        <f>IF(AND('試算シート '!C12&gt;=65,'試算シート '!A13&gt;=2,'試算シート '!V6=FALSE),MAX('試算シート '!H13-150000,0),IF('試算シート '!A13&lt;=1,0,'試算シート '!H13))</f>
        <v>0</v>
      </c>
      <c r="G10" s="115"/>
      <c r="I10" s="119"/>
      <c r="J10" s="119"/>
      <c r="K10" s="119"/>
    </row>
    <row r="11" spans="2:11" ht="19.5" customHeight="1">
      <c r="B11" s="377"/>
      <c r="C11" s="112" t="s">
        <v>2</v>
      </c>
      <c r="D11" s="138"/>
      <c r="E11" s="116">
        <f>IF('試算シート '!A14&lt;=1,0,'試算シート '!H14)</f>
        <v>0</v>
      </c>
      <c r="G11" s="115"/>
      <c r="I11" s="119"/>
      <c r="J11" s="119"/>
      <c r="K11" s="119"/>
    </row>
    <row r="12" spans="2:11" ht="19.5" customHeight="1">
      <c r="B12" s="378">
        <f>'試算シート '!C15</f>
        <v>0</v>
      </c>
      <c r="C12" s="117" t="s">
        <v>0</v>
      </c>
      <c r="D12" s="140">
        <f>IF('試算シート '!E15-550000&gt;0,'試算シート '!E15-550000,0)</f>
        <v>0</v>
      </c>
      <c r="E12" s="118">
        <f>IF('試算シート '!A15&lt;=1,0,IF(AND('試算シート '!H15&gt;0,E13&gt;0),IF(('試算シート '!H15+E13)&gt;100000,'試算シート '!H15-(MIN('試算シート '!H15,100000)+MIN(E13,100000)-100000),0),'試算シート '!H15))</f>
        <v>0</v>
      </c>
      <c r="F12" s="114">
        <f>D12+E13</f>
        <v>0</v>
      </c>
      <c r="G12" s="135">
        <f>SUM(E12:E14)</f>
        <v>0</v>
      </c>
    </row>
    <row r="13" spans="2:11" ht="19.5" customHeight="1">
      <c r="B13" s="378"/>
      <c r="C13" s="117" t="s">
        <v>1</v>
      </c>
      <c r="D13" s="138"/>
      <c r="E13" s="118">
        <f>IF(AND('試算シート '!C15&gt;=65,'試算シート '!A16&gt;=2,'試算シート '!V7=FALSE),MAX('試算シート '!H16-150000,0),IF('試算シート '!A16&lt;=1,0,'試算シート '!H16))</f>
        <v>0</v>
      </c>
      <c r="G13" s="115"/>
    </row>
    <row r="14" spans="2:11" ht="19.5" customHeight="1">
      <c r="B14" s="378"/>
      <c r="C14" s="117" t="s">
        <v>2</v>
      </c>
      <c r="D14" s="138"/>
      <c r="E14" s="118">
        <f>IF('試算シート '!A17&lt;=1,0,'試算シート '!H17)</f>
        <v>0</v>
      </c>
      <c r="G14" s="115"/>
    </row>
    <row r="15" spans="2:11" ht="19.5" customHeight="1">
      <c r="B15" s="377">
        <f>'試算シート '!C18</f>
        <v>0</v>
      </c>
      <c r="C15" s="112" t="s">
        <v>0</v>
      </c>
      <c r="D15" s="140">
        <f>IF('試算シート '!E18-550000&gt;0,'試算シート '!E18-550000,0)</f>
        <v>0</v>
      </c>
      <c r="E15" s="116">
        <f>IF('試算シート '!A18&lt;=1,0,IF(AND('試算シート '!H18&gt;0,E16&gt;0),IF(('試算シート '!H18+E16)&gt;100000,'試算シート '!H18-(MIN('試算シート '!H18,100000)+MIN(E16,100000)-100000),0),'試算シート '!H18))</f>
        <v>0</v>
      </c>
      <c r="F15" s="114">
        <f>D15+E16</f>
        <v>0</v>
      </c>
      <c r="G15" s="135">
        <f>SUM(E15:E17)</f>
        <v>0</v>
      </c>
    </row>
    <row r="16" spans="2:11" ht="19.5" customHeight="1">
      <c r="B16" s="377"/>
      <c r="C16" s="112" t="s">
        <v>1</v>
      </c>
      <c r="D16" s="138"/>
      <c r="E16" s="116">
        <f>IF(AND('試算シート '!C18&gt;=65,'試算シート '!A19&gt;=2,'試算シート '!V8=FALSE),MAX('試算シート '!H19-150000,0),IF('試算シート '!A19&lt;=1,0,'試算シート '!H19))</f>
        <v>0</v>
      </c>
      <c r="G16" s="115"/>
    </row>
    <row r="17" spans="2:7" ht="19.5" customHeight="1">
      <c r="B17" s="377"/>
      <c r="C17" s="112" t="s">
        <v>2</v>
      </c>
      <c r="D17" s="138"/>
      <c r="E17" s="116">
        <f>IF('試算シート '!A20&lt;=1,0,'試算シート '!H20)</f>
        <v>0</v>
      </c>
      <c r="G17" s="115"/>
    </row>
    <row r="18" spans="2:7" ht="19.5" customHeight="1">
      <c r="B18" s="378">
        <f>'試算シート '!C21</f>
        <v>0</v>
      </c>
      <c r="C18" s="117" t="s">
        <v>0</v>
      </c>
      <c r="D18" s="140">
        <f>IF('試算シート '!E21-550000&gt;0,'試算シート '!E21-550000,0)</f>
        <v>0</v>
      </c>
      <c r="E18" s="118">
        <f>IF('試算シート '!A21&lt;=1,0,IF(AND('試算シート '!H21&gt;0,E19&gt;0),IF(('試算シート '!H21+E19)&gt;100000,'試算シート '!H21-(MIN('試算シート '!H21,100000)+MIN(E19,100000)-100000),0),'試算シート '!H21))</f>
        <v>0</v>
      </c>
      <c r="F18" s="114">
        <f>D18+E19</f>
        <v>0</v>
      </c>
      <c r="G18" s="135">
        <f>SUM(E18:E20)</f>
        <v>0</v>
      </c>
    </row>
    <row r="19" spans="2:7" ht="19.5" customHeight="1">
      <c r="B19" s="378"/>
      <c r="C19" s="117" t="s">
        <v>1</v>
      </c>
      <c r="D19" s="138"/>
      <c r="E19" s="118">
        <f>IF(AND('試算シート '!C21&gt;=65,'試算シート '!A22&gt;=2,'試算シート '!V9=FALSE),MAX('試算シート '!H22-150000,0),IF('試算シート '!A22&lt;=1,0,'試算シート '!H22))</f>
        <v>0</v>
      </c>
    </row>
    <row r="20" spans="2:7" ht="19.5" customHeight="1">
      <c r="B20" s="378"/>
      <c r="C20" s="117" t="s">
        <v>2</v>
      </c>
      <c r="D20" s="138"/>
      <c r="E20" s="118">
        <f>IF('試算シート '!A23&lt;=1,0,'試算シート '!H23)</f>
        <v>0</v>
      </c>
    </row>
  </sheetData>
  <sheetProtection algorithmName="SHA-512" hashValue="AJS0YYkhpPWF1z0NHZnEY+Nti4kSF9lc5G+iT2oJiGEdxBuR1BOEolTkofMdS8hSOxFnTtGvhCdReQnbP71MlQ==" saltValue="YkdoVe3CZFHLmzQ7YkRtfw==" spinCount="100000" sheet="1" selectLockedCells="1"/>
  <mergeCells count="8">
    <mergeCell ref="B15:B17"/>
    <mergeCell ref="B18:B20"/>
    <mergeCell ref="I7:J8"/>
    <mergeCell ref="I5:J6"/>
    <mergeCell ref="B3:B5"/>
    <mergeCell ref="B6:B8"/>
    <mergeCell ref="B9:B11"/>
    <mergeCell ref="B12:B1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3:L47"/>
  <sheetViews>
    <sheetView showGridLines="0" zoomScale="85" zoomScaleNormal="85" workbookViewId="0">
      <selection activeCell="J18" sqref="J18"/>
    </sheetView>
  </sheetViews>
  <sheetFormatPr defaultRowHeight="17.25"/>
  <cols>
    <col min="1" max="1" width="21.375" style="6" customWidth="1"/>
    <col min="2" max="2" width="9.125" style="6" bestFit="1" customWidth="1"/>
    <col min="3" max="10" width="11.625" style="6" bestFit="1" customWidth="1"/>
    <col min="11" max="16384" width="9" style="6"/>
  </cols>
  <sheetData>
    <row r="3" spans="1:10" ht="24" customHeight="1">
      <c r="B3" s="7" t="s">
        <v>27</v>
      </c>
      <c r="C3" s="8" t="s">
        <v>37</v>
      </c>
    </row>
    <row r="4" spans="1:10" ht="24" customHeight="1">
      <c r="A4" s="6" t="s">
        <v>28</v>
      </c>
      <c r="B4" s="35"/>
      <c r="C4" s="34">
        <v>1</v>
      </c>
      <c r="D4" s="34">
        <v>2</v>
      </c>
      <c r="E4" s="34">
        <v>3</v>
      </c>
      <c r="F4" s="34">
        <v>4</v>
      </c>
      <c r="G4" s="34">
        <v>5</v>
      </c>
      <c r="H4" s="34">
        <v>6</v>
      </c>
      <c r="I4" s="34">
        <v>7</v>
      </c>
      <c r="J4" s="34">
        <v>8</v>
      </c>
    </row>
    <row r="5" spans="1:10" ht="24" customHeight="1">
      <c r="B5" s="36" t="s">
        <v>29</v>
      </c>
      <c r="C5" s="9">
        <f>430000+(1-1)*100000</f>
        <v>430000</v>
      </c>
      <c r="D5" s="9">
        <f t="shared" ref="D5:J5" si="0">430000+(1-1)*100000</f>
        <v>430000</v>
      </c>
      <c r="E5" s="9">
        <f t="shared" si="0"/>
        <v>430000</v>
      </c>
      <c r="F5" s="9">
        <f t="shared" si="0"/>
        <v>430000</v>
      </c>
      <c r="G5" s="9">
        <f t="shared" si="0"/>
        <v>430000</v>
      </c>
      <c r="H5" s="9">
        <f t="shared" si="0"/>
        <v>430000</v>
      </c>
      <c r="I5" s="9">
        <f t="shared" si="0"/>
        <v>430000</v>
      </c>
      <c r="J5" s="9">
        <f t="shared" si="0"/>
        <v>430000</v>
      </c>
    </row>
    <row r="6" spans="1:10" ht="24" customHeight="1">
      <c r="B6" s="36">
        <v>2</v>
      </c>
      <c r="C6" s="9">
        <f>430000+(B6-1)*100000</f>
        <v>530000</v>
      </c>
      <c r="D6" s="9">
        <f>430000+(100000*(B6-1))</f>
        <v>530000</v>
      </c>
      <c r="E6" s="9">
        <f>430000+(100000*(B6-1))</f>
        <v>530000</v>
      </c>
      <c r="F6" s="9">
        <f>430000+(100000*(B6-1))</f>
        <v>530000</v>
      </c>
      <c r="G6" s="9">
        <f>430000+(100000*(B6-1))</f>
        <v>530000</v>
      </c>
      <c r="H6" s="9">
        <f t="shared" ref="H6:H11" si="1">430000+(100000*(B6-1))</f>
        <v>530000</v>
      </c>
      <c r="I6" s="9">
        <f t="shared" ref="I6:I12" si="2">430000+(100000*(B6-1))</f>
        <v>530000</v>
      </c>
      <c r="J6" s="9">
        <f t="shared" ref="J6:J13" si="3">430000+(100000*(B6-1))</f>
        <v>530000</v>
      </c>
    </row>
    <row r="7" spans="1:10" ht="24" customHeight="1">
      <c r="B7" s="36">
        <v>3</v>
      </c>
      <c r="C7" s="9" t="s">
        <v>30</v>
      </c>
      <c r="D7" s="9">
        <f>430000+(100000*(B7-1))</f>
        <v>630000</v>
      </c>
      <c r="E7" s="9">
        <f>430000+(100000*(B7-1))</f>
        <v>630000</v>
      </c>
      <c r="F7" s="9">
        <f>430000+(100000*(B7-1))</f>
        <v>630000</v>
      </c>
      <c r="G7" s="9">
        <f>430000+(100000*(B7-1))</f>
        <v>630000</v>
      </c>
      <c r="H7" s="9">
        <f t="shared" si="1"/>
        <v>630000</v>
      </c>
      <c r="I7" s="9">
        <f t="shared" si="2"/>
        <v>630000</v>
      </c>
      <c r="J7" s="9">
        <f t="shared" si="3"/>
        <v>630000</v>
      </c>
    </row>
    <row r="8" spans="1:10" ht="24" customHeight="1">
      <c r="B8" s="36">
        <v>4</v>
      </c>
      <c r="C8" s="9" t="s">
        <v>30</v>
      </c>
      <c r="D8" s="9" t="s">
        <v>30</v>
      </c>
      <c r="E8" s="9">
        <f>430000+(100000*(B8-1))</f>
        <v>730000</v>
      </c>
      <c r="F8" s="9">
        <f>430000+(100000*(B8-1))</f>
        <v>730000</v>
      </c>
      <c r="G8" s="9">
        <f>430000+(100000*(B8-1))</f>
        <v>730000</v>
      </c>
      <c r="H8" s="9">
        <f t="shared" si="1"/>
        <v>730000</v>
      </c>
      <c r="I8" s="9">
        <f t="shared" si="2"/>
        <v>730000</v>
      </c>
      <c r="J8" s="9">
        <f t="shared" si="3"/>
        <v>730000</v>
      </c>
    </row>
    <row r="9" spans="1:10" ht="24" customHeight="1">
      <c r="B9" s="36">
        <v>5</v>
      </c>
      <c r="C9" s="9" t="s">
        <v>30</v>
      </c>
      <c r="D9" s="9" t="s">
        <v>30</v>
      </c>
      <c r="E9" s="9" t="s">
        <v>30</v>
      </c>
      <c r="F9" s="9">
        <f>430000+(100000*(B9-1))</f>
        <v>830000</v>
      </c>
      <c r="G9" s="9">
        <f>430000+(100000*(B9-1))</f>
        <v>830000</v>
      </c>
      <c r="H9" s="9">
        <f t="shared" si="1"/>
        <v>830000</v>
      </c>
      <c r="I9" s="9">
        <f t="shared" si="2"/>
        <v>830000</v>
      </c>
      <c r="J9" s="9">
        <f t="shared" si="3"/>
        <v>830000</v>
      </c>
    </row>
    <row r="10" spans="1:10" ht="24" customHeight="1">
      <c r="B10" s="36">
        <v>6</v>
      </c>
      <c r="C10" s="9" t="s">
        <v>30</v>
      </c>
      <c r="D10" s="9" t="s">
        <v>30</v>
      </c>
      <c r="E10" s="9" t="s">
        <v>30</v>
      </c>
      <c r="F10" s="9" t="s">
        <v>30</v>
      </c>
      <c r="G10" s="9">
        <f>430000+(100000*(B10-1))</f>
        <v>930000</v>
      </c>
      <c r="H10" s="9">
        <f t="shared" si="1"/>
        <v>930000</v>
      </c>
      <c r="I10" s="9">
        <f t="shared" si="2"/>
        <v>930000</v>
      </c>
      <c r="J10" s="9">
        <f t="shared" si="3"/>
        <v>930000</v>
      </c>
    </row>
    <row r="11" spans="1:10" ht="24" customHeight="1">
      <c r="B11" s="36">
        <v>7</v>
      </c>
      <c r="C11" s="9" t="s">
        <v>30</v>
      </c>
      <c r="D11" s="9" t="s">
        <v>30</v>
      </c>
      <c r="E11" s="9" t="s">
        <v>30</v>
      </c>
      <c r="F11" s="9" t="s">
        <v>30</v>
      </c>
      <c r="G11" s="9" t="s">
        <v>30</v>
      </c>
      <c r="H11" s="9">
        <f t="shared" si="1"/>
        <v>1030000</v>
      </c>
      <c r="I11" s="9">
        <f t="shared" si="2"/>
        <v>1030000</v>
      </c>
      <c r="J11" s="9">
        <f t="shared" si="3"/>
        <v>1030000</v>
      </c>
    </row>
    <row r="12" spans="1:10" ht="24" customHeight="1">
      <c r="B12" s="36">
        <v>8</v>
      </c>
      <c r="C12" s="9" t="s">
        <v>30</v>
      </c>
      <c r="D12" s="9" t="s">
        <v>30</v>
      </c>
      <c r="E12" s="9" t="s">
        <v>30</v>
      </c>
      <c r="F12" s="9" t="s">
        <v>30</v>
      </c>
      <c r="G12" s="9" t="s">
        <v>30</v>
      </c>
      <c r="H12" s="9" t="s">
        <v>30</v>
      </c>
      <c r="I12" s="9">
        <f t="shared" si="2"/>
        <v>1130000</v>
      </c>
      <c r="J12" s="9">
        <f t="shared" si="3"/>
        <v>1130000</v>
      </c>
    </row>
    <row r="13" spans="1:10" ht="24" customHeight="1">
      <c r="B13" s="36">
        <v>9</v>
      </c>
      <c r="C13" s="9" t="s">
        <v>30</v>
      </c>
      <c r="D13" s="9" t="s">
        <v>30</v>
      </c>
      <c r="E13" s="9" t="s">
        <v>30</v>
      </c>
      <c r="F13" s="9" t="s">
        <v>30</v>
      </c>
      <c r="G13" s="9" t="s">
        <v>30</v>
      </c>
      <c r="H13" s="9" t="s">
        <v>30</v>
      </c>
      <c r="I13" s="9" t="s">
        <v>30</v>
      </c>
      <c r="J13" s="9">
        <f t="shared" si="3"/>
        <v>1230000</v>
      </c>
    </row>
    <row r="14" spans="1:10" ht="24" customHeight="1">
      <c r="B14" s="10" t="s">
        <v>31</v>
      </c>
      <c r="C14" s="11"/>
      <c r="D14" s="11"/>
      <c r="E14" s="11"/>
      <c r="F14" s="11"/>
      <c r="G14" s="11"/>
      <c r="H14" s="11"/>
      <c r="I14" s="11"/>
      <c r="J14" s="11"/>
    </row>
    <row r="15" spans="1:10" ht="24" customHeight="1">
      <c r="B15" s="12"/>
      <c r="C15" s="11"/>
      <c r="D15" s="11"/>
      <c r="E15" s="11"/>
      <c r="F15" s="11"/>
      <c r="G15" s="11"/>
      <c r="H15" s="11"/>
      <c r="I15" s="11"/>
      <c r="J15" s="11"/>
    </row>
    <row r="16" spans="1:10" ht="24" customHeight="1">
      <c r="B16" s="12"/>
      <c r="C16" s="13"/>
      <c r="D16" s="13"/>
      <c r="E16" s="13"/>
      <c r="F16" s="13"/>
      <c r="G16" s="13"/>
      <c r="H16" s="13"/>
      <c r="I16" s="13"/>
      <c r="J16" s="13"/>
    </row>
    <row r="17" spans="1:10" ht="24" customHeight="1">
      <c r="B17" s="7" t="s">
        <v>32</v>
      </c>
      <c r="C17" s="8" t="s">
        <v>38</v>
      </c>
    </row>
    <row r="18" spans="1:10" ht="24" customHeight="1">
      <c r="A18" s="6" t="s">
        <v>28</v>
      </c>
      <c r="B18" s="37"/>
      <c r="C18" s="34">
        <v>1</v>
      </c>
      <c r="D18" s="34">
        <v>2</v>
      </c>
      <c r="E18" s="34">
        <v>3</v>
      </c>
      <c r="F18" s="34">
        <v>4</v>
      </c>
      <c r="G18" s="34">
        <v>5</v>
      </c>
      <c r="H18" s="34">
        <v>6</v>
      </c>
      <c r="I18" s="34">
        <v>7</v>
      </c>
      <c r="J18" s="34">
        <v>8</v>
      </c>
    </row>
    <row r="19" spans="1:10" ht="24" customHeight="1">
      <c r="B19" s="36" t="s">
        <v>29</v>
      </c>
      <c r="C19" s="9">
        <f t="shared" ref="C19:J19" si="4">430000+C18*310000</f>
        <v>740000</v>
      </c>
      <c r="D19" s="9">
        <f t="shared" si="4"/>
        <v>1050000</v>
      </c>
      <c r="E19" s="9">
        <f t="shared" si="4"/>
        <v>1360000</v>
      </c>
      <c r="F19" s="9">
        <f t="shared" si="4"/>
        <v>1670000</v>
      </c>
      <c r="G19" s="9">
        <f t="shared" si="4"/>
        <v>1980000</v>
      </c>
      <c r="H19" s="9">
        <f t="shared" si="4"/>
        <v>2290000</v>
      </c>
      <c r="I19" s="9">
        <f t="shared" si="4"/>
        <v>2600000</v>
      </c>
      <c r="J19" s="9">
        <f t="shared" si="4"/>
        <v>2910000</v>
      </c>
    </row>
    <row r="20" spans="1:10" ht="24" customHeight="1">
      <c r="B20" s="36">
        <v>2</v>
      </c>
      <c r="C20" s="9">
        <f>430000+(B20-1)*100000+C18*310000</f>
        <v>840000</v>
      </c>
      <c r="D20" s="9">
        <f>430000+(B20-1)*100000+D18*310000</f>
        <v>1150000</v>
      </c>
      <c r="E20" s="9">
        <f>430000+(B20-1)*100000+E18*310000</f>
        <v>1460000</v>
      </c>
      <c r="F20" s="9">
        <f>430000+(B20-1)*100000+F18*310000</f>
        <v>1770000</v>
      </c>
      <c r="G20" s="9">
        <f>430000+(B20-1)*100000+G18*310000</f>
        <v>2080000</v>
      </c>
      <c r="H20" s="9">
        <f>430000+(B20-1)*100000+H18*310000</f>
        <v>2390000</v>
      </c>
      <c r="I20" s="9">
        <f>430000+(B20-1)*100000+I18*310000</f>
        <v>2700000</v>
      </c>
      <c r="J20" s="9">
        <f>430000+(B20-1)*100000+J18*310000</f>
        <v>3010000</v>
      </c>
    </row>
    <row r="21" spans="1:10" ht="24" customHeight="1">
      <c r="B21" s="36">
        <v>3</v>
      </c>
      <c r="C21" s="9" t="s">
        <v>30</v>
      </c>
      <c r="D21" s="9">
        <f>430000+(B21-1)*100000+D18*310000</f>
        <v>1250000</v>
      </c>
      <c r="E21" s="9">
        <f>430000+(B21-1)*100000+E18*310000</f>
        <v>1560000</v>
      </c>
      <c r="F21" s="9">
        <f>430000+(B21-1)*100000+F18*310000</f>
        <v>1870000</v>
      </c>
      <c r="G21" s="9">
        <f>430000+(B21-1)*100000+G18*310000</f>
        <v>2180000</v>
      </c>
      <c r="H21" s="9">
        <f>430000+(B21-1)*100000+H18*310000</f>
        <v>2490000</v>
      </c>
      <c r="I21" s="9">
        <f>430000+(B21-1)*100000+I18*310000</f>
        <v>2800000</v>
      </c>
      <c r="J21" s="9">
        <f>430000+(B21-1)*100000+J18*310000</f>
        <v>3110000</v>
      </c>
    </row>
    <row r="22" spans="1:10" ht="24" customHeight="1">
      <c r="B22" s="36">
        <v>4</v>
      </c>
      <c r="C22" s="9" t="s">
        <v>30</v>
      </c>
      <c r="D22" s="9" t="s">
        <v>30</v>
      </c>
      <c r="E22" s="9">
        <f>430000+(B22-1)*100000+E18*310000</f>
        <v>1660000</v>
      </c>
      <c r="F22" s="9">
        <f>430000+(B22-1)*100000+F18*310000</f>
        <v>1970000</v>
      </c>
      <c r="G22" s="9">
        <f>430000+(B22-1)*100000+G18*310000</f>
        <v>2280000</v>
      </c>
      <c r="H22" s="9">
        <f>430000+(B22-1)*100000+H18*310000</f>
        <v>2590000</v>
      </c>
      <c r="I22" s="9">
        <f>430000+(B22-1)*100000+I18*310000</f>
        <v>2900000</v>
      </c>
      <c r="J22" s="9">
        <f>430000+(B22-1)*100000+J18*310000</f>
        <v>3210000</v>
      </c>
    </row>
    <row r="23" spans="1:10" ht="24" customHeight="1">
      <c r="B23" s="36">
        <v>5</v>
      </c>
      <c r="C23" s="9" t="s">
        <v>30</v>
      </c>
      <c r="D23" s="9" t="s">
        <v>30</v>
      </c>
      <c r="E23" s="9" t="s">
        <v>30</v>
      </c>
      <c r="F23" s="9">
        <f>430000+(B23-1)*100000+F18*310000</f>
        <v>2070000</v>
      </c>
      <c r="G23" s="9">
        <f>430000+(B23-1)*100000+G18*310000</f>
        <v>2380000</v>
      </c>
      <c r="H23" s="9">
        <f>430000+(B23-1)*100000+H18*310000</f>
        <v>2690000</v>
      </c>
      <c r="I23" s="9">
        <f>430000+(B23-1)*100000+I18*310000</f>
        <v>3000000</v>
      </c>
      <c r="J23" s="9">
        <f>430000+(B23-1)*100000+J18*310000</f>
        <v>3310000</v>
      </c>
    </row>
    <row r="24" spans="1:10" ht="24" customHeight="1">
      <c r="B24" s="36">
        <v>6</v>
      </c>
      <c r="C24" s="9" t="s">
        <v>30</v>
      </c>
      <c r="D24" s="9" t="s">
        <v>30</v>
      </c>
      <c r="E24" s="9" t="s">
        <v>30</v>
      </c>
      <c r="F24" s="9" t="s">
        <v>30</v>
      </c>
      <c r="G24" s="9">
        <f>430000+(B24-1)*100000+G18*310000</f>
        <v>2480000</v>
      </c>
      <c r="H24" s="9">
        <f>430000+(B24-1)*100000+H18*310000</f>
        <v>2790000</v>
      </c>
      <c r="I24" s="9">
        <f>430000+(B24-1)*100000+I18*310000</f>
        <v>3100000</v>
      </c>
      <c r="J24" s="9">
        <f>430000+(B24-1)*100000+J18*310000</f>
        <v>3410000</v>
      </c>
    </row>
    <row r="25" spans="1:10" ht="24" customHeight="1">
      <c r="B25" s="36">
        <v>7</v>
      </c>
      <c r="C25" s="9" t="s">
        <v>30</v>
      </c>
      <c r="D25" s="9" t="s">
        <v>30</v>
      </c>
      <c r="E25" s="9" t="s">
        <v>30</v>
      </c>
      <c r="F25" s="9" t="s">
        <v>30</v>
      </c>
      <c r="G25" s="9" t="s">
        <v>30</v>
      </c>
      <c r="H25" s="9">
        <f>430000+(B25-1)*100000+H18*310000</f>
        <v>2890000</v>
      </c>
      <c r="I25" s="9">
        <f>430000+(B25-1)*100000+I18*310000</f>
        <v>3200000</v>
      </c>
      <c r="J25" s="9">
        <f>430000+(B25-1)*100000+J18*310000</f>
        <v>3510000</v>
      </c>
    </row>
    <row r="26" spans="1:10" ht="24" customHeight="1">
      <c r="B26" s="36">
        <v>8</v>
      </c>
      <c r="C26" s="9" t="s">
        <v>30</v>
      </c>
      <c r="D26" s="9" t="s">
        <v>30</v>
      </c>
      <c r="E26" s="9" t="s">
        <v>30</v>
      </c>
      <c r="F26" s="9" t="s">
        <v>30</v>
      </c>
      <c r="G26" s="9" t="s">
        <v>30</v>
      </c>
      <c r="H26" s="9" t="s">
        <v>30</v>
      </c>
      <c r="I26" s="9">
        <f>430000+(B26-1)*100000+I18*310000</f>
        <v>3300000</v>
      </c>
      <c r="J26" s="9">
        <f>430000+(B26-1)*100000+J18*310000</f>
        <v>3610000</v>
      </c>
    </row>
    <row r="27" spans="1:10" ht="24" customHeight="1">
      <c r="B27" s="36">
        <v>9</v>
      </c>
      <c r="C27" s="9" t="s">
        <v>30</v>
      </c>
      <c r="D27" s="9" t="s">
        <v>30</v>
      </c>
      <c r="E27" s="9" t="s">
        <v>30</v>
      </c>
      <c r="F27" s="9" t="s">
        <v>30</v>
      </c>
      <c r="G27" s="9" t="s">
        <v>30</v>
      </c>
      <c r="H27" s="9" t="s">
        <v>30</v>
      </c>
      <c r="I27" s="9" t="s">
        <v>30</v>
      </c>
      <c r="J27" s="9">
        <f>430000+(B27-1)*100000+J18*310000</f>
        <v>3710000</v>
      </c>
    </row>
    <row r="28" spans="1:10" ht="24" customHeight="1">
      <c r="B28" s="12" t="s">
        <v>72</v>
      </c>
      <c r="C28" s="11"/>
      <c r="D28" s="11"/>
      <c r="E28" s="11"/>
      <c r="F28" s="11"/>
      <c r="G28" s="11"/>
      <c r="H28" s="11"/>
      <c r="I28" s="11"/>
      <c r="J28" s="11"/>
    </row>
    <row r="29" spans="1:10" ht="24" customHeight="1">
      <c r="B29" s="12"/>
      <c r="C29" s="11"/>
      <c r="D29" s="11"/>
      <c r="E29" s="11"/>
      <c r="F29" s="11"/>
      <c r="G29" s="11"/>
      <c r="H29" s="11"/>
      <c r="I29" s="11"/>
      <c r="J29" s="11"/>
    </row>
    <row r="30" spans="1:10" ht="24" customHeight="1"/>
    <row r="31" spans="1:10" ht="24" customHeight="1">
      <c r="B31" s="7" t="s">
        <v>33</v>
      </c>
      <c r="C31" s="8" t="s">
        <v>38</v>
      </c>
    </row>
    <row r="32" spans="1:10" ht="24" customHeight="1">
      <c r="A32" s="6" t="s">
        <v>28</v>
      </c>
      <c r="B32" s="35"/>
      <c r="C32" s="34">
        <v>1</v>
      </c>
      <c r="D32" s="34">
        <v>2</v>
      </c>
      <c r="E32" s="34">
        <v>3</v>
      </c>
      <c r="F32" s="34">
        <v>4</v>
      </c>
      <c r="G32" s="34">
        <v>5</v>
      </c>
      <c r="H32" s="34">
        <v>6</v>
      </c>
      <c r="I32" s="34">
        <v>7</v>
      </c>
      <c r="J32" s="34">
        <v>8</v>
      </c>
    </row>
    <row r="33" spans="2:12" ht="24" customHeight="1">
      <c r="B33" s="36" t="s">
        <v>29</v>
      </c>
      <c r="C33" s="9">
        <f t="shared" ref="C33:J33" si="5">430000+570000*C32</f>
        <v>1000000</v>
      </c>
      <c r="D33" s="9">
        <f t="shared" si="5"/>
        <v>1570000</v>
      </c>
      <c r="E33" s="9">
        <f t="shared" si="5"/>
        <v>2140000</v>
      </c>
      <c r="F33" s="9">
        <f t="shared" si="5"/>
        <v>2710000</v>
      </c>
      <c r="G33" s="9">
        <f t="shared" si="5"/>
        <v>3280000</v>
      </c>
      <c r="H33" s="9">
        <f t="shared" si="5"/>
        <v>3850000</v>
      </c>
      <c r="I33" s="9">
        <f t="shared" si="5"/>
        <v>4420000</v>
      </c>
      <c r="J33" s="9">
        <f t="shared" si="5"/>
        <v>4990000</v>
      </c>
    </row>
    <row r="34" spans="2:12" ht="24" customHeight="1">
      <c r="B34" s="36">
        <v>2</v>
      </c>
      <c r="C34" s="9">
        <f>430000+(B34-1)*100000+C32*570000</f>
        <v>1100000</v>
      </c>
      <c r="D34" s="9">
        <f>430000+(B34-1)*100000+D32*570000</f>
        <v>1670000</v>
      </c>
      <c r="E34" s="9">
        <f>430000+(B34-1)*100000+E32*570000</f>
        <v>2240000</v>
      </c>
      <c r="F34" s="9">
        <f>430000+(B34-1)*100000+F32*570000</f>
        <v>2810000</v>
      </c>
      <c r="G34" s="9">
        <f>430000+(B34-1)*100000+G32*570000</f>
        <v>3380000</v>
      </c>
      <c r="H34" s="9">
        <f>430000+(B34-1)*100000+H32*570000</f>
        <v>3950000</v>
      </c>
      <c r="I34" s="9">
        <f>430000+(B34-1)*100000+I32*570000</f>
        <v>4520000</v>
      </c>
      <c r="J34" s="9">
        <f>430000+(B34-1)*100000+J32*570000</f>
        <v>5090000</v>
      </c>
    </row>
    <row r="35" spans="2:12" ht="24" customHeight="1">
      <c r="B35" s="36">
        <v>3</v>
      </c>
      <c r="C35" s="9" t="s">
        <v>30</v>
      </c>
      <c r="D35" s="9">
        <f>430000+(B35-1)*100000+D32*570000</f>
        <v>1770000</v>
      </c>
      <c r="E35" s="9">
        <f>430000+(B35-1)*100000+E32*570000</f>
        <v>2340000</v>
      </c>
      <c r="F35" s="9">
        <f>430000+(B35-1)*100000+F32*570000</f>
        <v>2910000</v>
      </c>
      <c r="G35" s="9">
        <f>430000+(B35-1)*100000+G32*570000</f>
        <v>3480000</v>
      </c>
      <c r="H35" s="9">
        <f>430000+(B35-1)*100000+H32*570000</f>
        <v>4050000</v>
      </c>
      <c r="I35" s="9">
        <f>430000+(B35-1)*100000+I32*570000</f>
        <v>4620000</v>
      </c>
      <c r="J35" s="9">
        <f>430000+(B35-1)*100000+J32*570000</f>
        <v>5190000</v>
      </c>
    </row>
    <row r="36" spans="2:12" ht="24" customHeight="1">
      <c r="B36" s="36">
        <v>4</v>
      </c>
      <c r="C36" s="9" t="s">
        <v>30</v>
      </c>
      <c r="D36" s="9" t="s">
        <v>30</v>
      </c>
      <c r="E36" s="9">
        <f>430000+(B36-1)*100000+E32*570000</f>
        <v>2440000</v>
      </c>
      <c r="F36" s="9">
        <f>430000+(B36-1)*100000+F32*570000</f>
        <v>3010000</v>
      </c>
      <c r="G36" s="9">
        <f>430000+(B36-1)*100000+G32*570000</f>
        <v>3580000</v>
      </c>
      <c r="H36" s="9">
        <f>430000+(B36-1)*100000+H32*570000</f>
        <v>4150000</v>
      </c>
      <c r="I36" s="9">
        <f>430000+(B36-1)*100000+I32*570000</f>
        <v>4720000</v>
      </c>
      <c r="J36" s="9">
        <f>430000+(B36-1)*100000+J32*570000</f>
        <v>5290000</v>
      </c>
    </row>
    <row r="37" spans="2:12" ht="24" customHeight="1">
      <c r="B37" s="36">
        <v>5</v>
      </c>
      <c r="C37" s="9" t="s">
        <v>30</v>
      </c>
      <c r="D37" s="9" t="s">
        <v>30</v>
      </c>
      <c r="E37" s="9" t="s">
        <v>30</v>
      </c>
      <c r="F37" s="9">
        <f>430000+(B37-1)*100000+F32*570000</f>
        <v>3110000</v>
      </c>
      <c r="G37" s="9">
        <f>430000+(B37-1)*100000+G32*570000</f>
        <v>3680000</v>
      </c>
      <c r="H37" s="9">
        <f>430000+(B37-1)*100000+H32*570000</f>
        <v>4250000</v>
      </c>
      <c r="I37" s="9">
        <f>430000+(B37-1)*100000+I32*570000</f>
        <v>4820000</v>
      </c>
      <c r="J37" s="9">
        <f>430000+(B37-1)*100000+J32*570000</f>
        <v>5390000</v>
      </c>
    </row>
    <row r="38" spans="2:12" ht="24" customHeight="1">
      <c r="B38" s="36">
        <v>6</v>
      </c>
      <c r="C38" s="9" t="s">
        <v>30</v>
      </c>
      <c r="D38" s="9" t="s">
        <v>30</v>
      </c>
      <c r="E38" s="9" t="s">
        <v>30</v>
      </c>
      <c r="F38" s="9" t="s">
        <v>30</v>
      </c>
      <c r="G38" s="9">
        <f>430000+(B38-1)*100000+G32*570000</f>
        <v>3780000</v>
      </c>
      <c r="H38" s="9">
        <f>430000+(B38-1)*100000+H32*570000</f>
        <v>4350000</v>
      </c>
      <c r="I38" s="9">
        <f>430000+(B38-1)*100000+I32*570000</f>
        <v>4920000</v>
      </c>
      <c r="J38" s="9">
        <f>430000+(B38-1)*100000+J32*570000</f>
        <v>5490000</v>
      </c>
    </row>
    <row r="39" spans="2:12" ht="24" customHeight="1">
      <c r="B39" s="36">
        <v>7</v>
      </c>
      <c r="C39" s="9" t="s">
        <v>30</v>
      </c>
      <c r="D39" s="9" t="s">
        <v>30</v>
      </c>
      <c r="E39" s="9" t="s">
        <v>30</v>
      </c>
      <c r="F39" s="9" t="s">
        <v>30</v>
      </c>
      <c r="G39" s="9" t="s">
        <v>30</v>
      </c>
      <c r="H39" s="9">
        <f>430000+(B39-1)*100000+H32*570000</f>
        <v>4450000</v>
      </c>
      <c r="I39" s="9">
        <f>430000+(B39-1)*100000+I32*570000</f>
        <v>5020000</v>
      </c>
      <c r="J39" s="9">
        <f>430000+(B39-1)*100000+J32*570000</f>
        <v>5590000</v>
      </c>
    </row>
    <row r="40" spans="2:12" ht="24" customHeight="1">
      <c r="B40" s="36">
        <v>8</v>
      </c>
      <c r="C40" s="9" t="s">
        <v>30</v>
      </c>
      <c r="D40" s="9" t="s">
        <v>30</v>
      </c>
      <c r="E40" s="9" t="s">
        <v>30</v>
      </c>
      <c r="F40" s="9" t="s">
        <v>30</v>
      </c>
      <c r="G40" s="9" t="s">
        <v>30</v>
      </c>
      <c r="H40" s="9" t="s">
        <v>30</v>
      </c>
      <c r="I40" s="9">
        <f>430000+(B40-1)*100000+I32*570000</f>
        <v>5120000</v>
      </c>
      <c r="J40" s="9">
        <f>430000+(B40-1)*100000+J32*570000</f>
        <v>5690000</v>
      </c>
    </row>
    <row r="41" spans="2:12" ht="24" customHeight="1">
      <c r="B41" s="36">
        <v>9</v>
      </c>
      <c r="C41" s="9" t="s">
        <v>30</v>
      </c>
      <c r="D41" s="9" t="s">
        <v>30</v>
      </c>
      <c r="E41" s="9" t="s">
        <v>30</v>
      </c>
      <c r="F41" s="9" t="s">
        <v>30</v>
      </c>
      <c r="G41" s="9" t="s">
        <v>30</v>
      </c>
      <c r="H41" s="9" t="s">
        <v>30</v>
      </c>
      <c r="I41" s="9" t="s">
        <v>30</v>
      </c>
      <c r="J41" s="9">
        <f>430000+(B41-1)*100000+J32*570000</f>
        <v>5790000</v>
      </c>
    </row>
    <row r="42" spans="2:12" ht="24" customHeight="1">
      <c r="B42" s="10" t="s">
        <v>73</v>
      </c>
      <c r="C42" s="11"/>
      <c r="D42" s="11"/>
      <c r="E42" s="11"/>
      <c r="F42" s="11"/>
      <c r="G42" s="11"/>
      <c r="H42" s="11"/>
      <c r="I42" s="11"/>
      <c r="J42" s="11"/>
    </row>
    <row r="43" spans="2:12" ht="24" customHeight="1"/>
    <row r="44" spans="2:12" ht="24" customHeight="1">
      <c r="B44" s="380" t="s">
        <v>75</v>
      </c>
      <c r="C44" s="380"/>
      <c r="D44" s="380"/>
      <c r="E44" s="380"/>
      <c r="F44" s="380"/>
      <c r="G44" s="380"/>
      <c r="H44" s="380"/>
      <c r="I44" s="380"/>
      <c r="J44" s="380"/>
      <c r="L44" s="137"/>
    </row>
    <row r="45" spans="2:12" ht="24" customHeight="1">
      <c r="B45" s="380"/>
      <c r="C45" s="380"/>
      <c r="D45" s="380"/>
      <c r="E45" s="380"/>
      <c r="F45" s="380"/>
      <c r="G45" s="380"/>
      <c r="H45" s="380"/>
      <c r="I45" s="380"/>
      <c r="J45" s="380"/>
    </row>
    <row r="47" spans="2:12" ht="24">
      <c r="H47" s="139"/>
    </row>
  </sheetData>
  <sheetProtection algorithmName="SHA-512" hashValue="5Rr1CqGXbRHDIE3pIBitfTJCel1YMQnlSvpDk3GdL1VmU9g9zpHXjJo+dpcOJ3NppGXttA8WeI5zpPnXRbUTEQ==" saltValue="RSBGfQTaG2pCDSUdpqkmmQ==" spinCount="100000" sheet="1" selectLockedCells="1" selectUnlockedCells="1"/>
  <mergeCells count="1">
    <mergeCell ref="B44:J4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試算シート </vt:lpstr>
      <vt:lpstr>入力方法</vt:lpstr>
      <vt:lpstr>軽減所得</vt:lpstr>
      <vt:lpstr>軽減早見表</vt:lpstr>
      <vt:lpstr>'試算シート '!Print_Area</vt:lpstr>
      <vt:lpstr>入力方法!Print_Area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寺下 和輝</dc:creator>
  <cp:lastModifiedBy>寺下 和輝</cp:lastModifiedBy>
  <cp:lastPrinted>2026-02-13T00:39:35Z</cp:lastPrinted>
  <dcterms:created xsi:type="dcterms:W3CDTF">1997-01-08T22:48:59Z</dcterms:created>
  <dcterms:modified xsi:type="dcterms:W3CDTF">2026-02-24T05:59:50Z</dcterms:modified>
</cp:coreProperties>
</file>